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manda &amp; Christian\Webbsida\"/>
    </mc:Choice>
  </mc:AlternateContent>
  <xr:revisionPtr revIDLastSave="0" documentId="13_ncr:1_{2EBD13E4-4FDE-448B-9ED8-1DB225C4DA08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Introduktion" sheetId="3" r:id="rId1"/>
    <sheet name="Avtal_Arbetsgivarorganisationer" sheetId="1" r:id="rId2"/>
    <sheet name="Avtal_arbetstagarorganisationer" sheetId="2" r:id="rId3"/>
  </sheets>
  <definedNames>
    <definedName name="_xlnm._FilterDatabase" localSheetId="1" hidden="1">Avtal_Arbetsgivarorganisationer!$A$1:$D$624</definedName>
    <definedName name="_xlnm._FilterDatabase" localSheetId="2" hidden="1">Avtal_arbetstagarorganisationer!$A$1:$D$624</definedName>
  </definedNames>
  <calcPr calcId="191029"/>
</workbook>
</file>

<file path=xl/calcChain.xml><?xml version="1.0" encoding="utf-8"?>
<calcChain xmlns="http://schemas.openxmlformats.org/spreadsheetml/2006/main">
  <c r="D282" i="2" l="1"/>
  <c r="C282" i="2"/>
  <c r="B282" i="2"/>
  <c r="A282" i="2"/>
  <c r="D235" i="2"/>
  <c r="C235" i="2"/>
  <c r="B235" i="2"/>
  <c r="A235" i="2"/>
  <c r="D53" i="2"/>
  <c r="C53" i="2"/>
  <c r="B53" i="2"/>
  <c r="A53" i="2"/>
  <c r="D11" i="2"/>
  <c r="C11" i="2"/>
  <c r="B11" i="2"/>
  <c r="A11" i="2"/>
  <c r="D609" i="2"/>
  <c r="C609" i="2"/>
  <c r="B609" i="2"/>
  <c r="A609" i="2"/>
  <c r="D234" i="2"/>
  <c r="C234" i="2"/>
  <c r="B234" i="2"/>
  <c r="A234" i="2"/>
  <c r="D608" i="2"/>
  <c r="C608" i="2"/>
  <c r="B608" i="2"/>
  <c r="A608" i="2"/>
  <c r="D281" i="2"/>
  <c r="C281" i="2"/>
  <c r="B281" i="2"/>
  <c r="A281" i="2"/>
  <c r="D52" i="2"/>
  <c r="C52" i="2"/>
  <c r="B52" i="2"/>
  <c r="A52" i="2"/>
  <c r="D10" i="2"/>
  <c r="C10" i="2"/>
  <c r="B10" i="2"/>
  <c r="A10" i="2"/>
  <c r="D233" i="2"/>
  <c r="C233" i="2"/>
  <c r="B233" i="2"/>
  <c r="A233" i="2"/>
  <c r="D280" i="2"/>
  <c r="C280" i="2"/>
  <c r="B280" i="2"/>
  <c r="A280" i="2"/>
  <c r="D607" i="2"/>
  <c r="C607" i="2"/>
  <c r="B607" i="2"/>
  <c r="A607" i="2"/>
  <c r="D51" i="2"/>
  <c r="C51" i="2"/>
  <c r="B51" i="2"/>
  <c r="A51" i="2"/>
  <c r="D9" i="2"/>
  <c r="C9" i="2"/>
  <c r="B9" i="2"/>
  <c r="A9" i="2"/>
  <c r="D232" i="2"/>
  <c r="C232" i="2"/>
  <c r="B232" i="2"/>
  <c r="A232" i="2"/>
  <c r="D279" i="2"/>
  <c r="C279" i="2"/>
  <c r="B279" i="2"/>
  <c r="A279" i="2"/>
  <c r="D50" i="2"/>
  <c r="C50" i="2"/>
  <c r="B50" i="2"/>
  <c r="A50" i="2"/>
  <c r="D606" i="2"/>
  <c r="C606" i="2"/>
  <c r="B606" i="2"/>
  <c r="A606" i="2"/>
  <c r="D8" i="2"/>
  <c r="C8" i="2"/>
  <c r="B8" i="2"/>
  <c r="A8" i="2"/>
  <c r="D605" i="2"/>
  <c r="C605" i="2"/>
  <c r="B605" i="2"/>
  <c r="A605" i="2"/>
  <c r="D278" i="2"/>
  <c r="C278" i="2"/>
  <c r="B278" i="2"/>
  <c r="A278" i="2"/>
  <c r="D231" i="2"/>
  <c r="C231" i="2"/>
  <c r="B231" i="2"/>
  <c r="A231" i="2"/>
  <c r="D49" i="2"/>
  <c r="C49" i="2"/>
  <c r="B49" i="2"/>
  <c r="A49" i="2"/>
  <c r="D7" i="2"/>
  <c r="C7" i="2"/>
  <c r="B7" i="2"/>
  <c r="A7" i="2"/>
  <c r="D6" i="2"/>
  <c r="C6" i="2"/>
  <c r="B6" i="2"/>
  <c r="A6" i="2"/>
  <c r="D3" i="2"/>
  <c r="C3" i="2"/>
  <c r="B3" i="2"/>
  <c r="A3" i="2"/>
  <c r="D604" i="2"/>
  <c r="C604" i="2"/>
  <c r="B604" i="2"/>
  <c r="A604" i="2"/>
  <c r="D277" i="2"/>
  <c r="C277" i="2"/>
  <c r="B277" i="2"/>
  <c r="A277" i="2"/>
  <c r="D48" i="2"/>
  <c r="C48" i="2"/>
  <c r="B48" i="2"/>
  <c r="A48" i="2"/>
  <c r="D230" i="2"/>
  <c r="C230" i="2"/>
  <c r="B230" i="2"/>
  <c r="A230" i="2"/>
  <c r="D600" i="2"/>
  <c r="C600" i="2"/>
  <c r="B600" i="2"/>
  <c r="A600" i="2"/>
  <c r="D274" i="2"/>
  <c r="C274" i="2"/>
  <c r="B274" i="2"/>
  <c r="A274" i="2"/>
  <c r="D45" i="2"/>
  <c r="C45" i="2"/>
  <c r="B45" i="2"/>
  <c r="A45" i="2"/>
  <c r="D227" i="2"/>
  <c r="C227" i="2"/>
  <c r="B227" i="2"/>
  <c r="A227" i="2"/>
  <c r="D480" i="2"/>
  <c r="C480" i="2"/>
  <c r="B480" i="2"/>
  <c r="A480" i="2"/>
  <c r="D479" i="2"/>
  <c r="C479" i="2"/>
  <c r="B479" i="2"/>
  <c r="A479" i="2"/>
  <c r="D389" i="2"/>
  <c r="C389" i="2"/>
  <c r="B389" i="2"/>
  <c r="A389" i="2"/>
  <c r="D378" i="2"/>
  <c r="C378" i="2"/>
  <c r="B378" i="2"/>
  <c r="A378" i="2"/>
  <c r="D496" i="2"/>
  <c r="C496" i="2"/>
  <c r="B496" i="2"/>
  <c r="A496" i="2"/>
  <c r="D494" i="2"/>
  <c r="C494" i="2"/>
  <c r="B494" i="2"/>
  <c r="A494" i="2"/>
  <c r="D377" i="2"/>
  <c r="C377" i="2"/>
  <c r="B377" i="2"/>
  <c r="A377" i="2"/>
  <c r="D388" i="2"/>
  <c r="C388" i="2"/>
  <c r="B388" i="2"/>
  <c r="A388" i="2"/>
  <c r="D151" i="2"/>
  <c r="C151" i="2"/>
  <c r="B151" i="2"/>
  <c r="A151" i="2"/>
  <c r="D205" i="2"/>
  <c r="C205" i="2"/>
  <c r="B205" i="2"/>
  <c r="A205" i="2"/>
  <c r="D115" i="2"/>
  <c r="C115" i="2"/>
  <c r="B115" i="2"/>
  <c r="A115" i="2"/>
  <c r="D64" i="2"/>
  <c r="C64" i="2"/>
  <c r="B64" i="2"/>
  <c r="A64" i="2"/>
  <c r="D387" i="2"/>
  <c r="C387" i="2"/>
  <c r="B387" i="2"/>
  <c r="A387" i="2"/>
  <c r="D276" i="2"/>
  <c r="C276" i="2"/>
  <c r="B276" i="2"/>
  <c r="A276" i="2"/>
  <c r="D229" i="2"/>
  <c r="C229" i="2"/>
  <c r="B229" i="2"/>
  <c r="A229" i="2"/>
  <c r="D603" i="2"/>
  <c r="C603" i="2"/>
  <c r="B603" i="2"/>
  <c r="A603" i="2"/>
  <c r="D47" i="2"/>
  <c r="C47" i="2"/>
  <c r="B47" i="2"/>
  <c r="A47" i="2"/>
  <c r="D5" i="2"/>
  <c r="C5" i="2"/>
  <c r="B5" i="2"/>
  <c r="A5" i="2"/>
  <c r="D386" i="2"/>
  <c r="C386" i="2"/>
  <c r="B386" i="2"/>
  <c r="A386" i="2"/>
  <c r="D368" i="2"/>
  <c r="C368" i="2"/>
  <c r="B368" i="2"/>
  <c r="A368" i="2"/>
  <c r="D529" i="2"/>
  <c r="C529" i="2"/>
  <c r="B529" i="2"/>
  <c r="A529" i="2"/>
  <c r="D127" i="2"/>
  <c r="C127" i="2"/>
  <c r="B127" i="2"/>
  <c r="A127" i="2"/>
  <c r="D359" i="2"/>
  <c r="C359" i="2"/>
  <c r="B359" i="2"/>
  <c r="A359" i="2"/>
  <c r="D399" i="2"/>
  <c r="C399" i="2"/>
  <c r="B399" i="2"/>
  <c r="A399" i="2"/>
  <c r="D398" i="2"/>
  <c r="C398" i="2"/>
  <c r="B398" i="2"/>
  <c r="A398" i="2"/>
  <c r="D338" i="2"/>
  <c r="C338" i="2"/>
  <c r="B338" i="2"/>
  <c r="A338" i="2"/>
  <c r="D99" i="2"/>
  <c r="C99" i="2"/>
  <c r="B99" i="2"/>
  <c r="A99" i="2"/>
  <c r="D197" i="2"/>
  <c r="C197" i="2"/>
  <c r="B197" i="2"/>
  <c r="A197" i="2"/>
  <c r="D21" i="2"/>
  <c r="C21" i="2"/>
  <c r="B21" i="2"/>
  <c r="A21" i="2"/>
  <c r="D357" i="2"/>
  <c r="C357" i="2"/>
  <c r="B357" i="2"/>
  <c r="A357" i="2"/>
  <c r="D592" i="2"/>
  <c r="C592" i="2"/>
  <c r="B592" i="2"/>
  <c r="A592" i="2"/>
  <c r="D520" i="2"/>
  <c r="C520" i="2"/>
  <c r="B520" i="2"/>
  <c r="A520" i="2"/>
  <c r="D196" i="2"/>
  <c r="C196" i="2"/>
  <c r="B196" i="2"/>
  <c r="A196" i="2"/>
  <c r="D75" i="2"/>
  <c r="C75" i="2"/>
  <c r="B75" i="2"/>
  <c r="A75" i="2"/>
  <c r="D356" i="2"/>
  <c r="C356" i="2"/>
  <c r="B356" i="2"/>
  <c r="A356" i="2"/>
  <c r="D20" i="2"/>
  <c r="C20" i="2"/>
  <c r="B20" i="2"/>
  <c r="A20" i="2"/>
  <c r="D519" i="2"/>
  <c r="C519" i="2"/>
  <c r="B519" i="2"/>
  <c r="A519" i="2"/>
  <c r="D415" i="2"/>
  <c r="C415" i="2"/>
  <c r="B415" i="2"/>
  <c r="A415" i="2"/>
  <c r="D414" i="2"/>
  <c r="C414" i="2"/>
  <c r="B414" i="2"/>
  <c r="A414" i="2"/>
  <c r="D513" i="2"/>
  <c r="C513" i="2"/>
  <c r="B513" i="2"/>
  <c r="A513" i="2"/>
  <c r="D13" i="2"/>
  <c r="C13" i="2"/>
  <c r="B13" i="2"/>
  <c r="A13" i="2"/>
  <c r="D31" i="2"/>
  <c r="C31" i="2"/>
  <c r="B31" i="2"/>
  <c r="A31" i="2"/>
  <c r="D204" i="2"/>
  <c r="C204" i="2"/>
  <c r="B204" i="2"/>
  <c r="A204" i="2"/>
  <c r="D136" i="2"/>
  <c r="C136" i="2"/>
  <c r="B136" i="2"/>
  <c r="A136" i="2"/>
  <c r="D30" i="2"/>
  <c r="C30" i="2"/>
  <c r="B30" i="2"/>
  <c r="A30" i="2"/>
  <c r="D175" i="2"/>
  <c r="C175" i="2"/>
  <c r="B175" i="2"/>
  <c r="A175" i="2"/>
  <c r="D114" i="2"/>
  <c r="C114" i="2"/>
  <c r="B114" i="2"/>
  <c r="A114" i="2"/>
  <c r="D113" i="2"/>
  <c r="C113" i="2"/>
  <c r="B113" i="2"/>
  <c r="A113" i="2"/>
  <c r="D491" i="2"/>
  <c r="C491" i="2"/>
  <c r="B491" i="2"/>
  <c r="A491" i="2"/>
  <c r="D195" i="2"/>
  <c r="C195" i="2"/>
  <c r="B195" i="2"/>
  <c r="A195" i="2"/>
  <c r="D487" i="2"/>
  <c r="C487" i="2"/>
  <c r="B487" i="2"/>
  <c r="A487" i="2"/>
  <c r="D591" i="2"/>
  <c r="C591" i="2"/>
  <c r="B591" i="2"/>
  <c r="A591" i="2"/>
  <c r="D19" i="2"/>
  <c r="C19" i="2"/>
  <c r="B19" i="2"/>
  <c r="A19" i="2"/>
  <c r="D355" i="2"/>
  <c r="C355" i="2"/>
  <c r="B355" i="2"/>
  <c r="A355" i="2"/>
  <c r="D286" i="2"/>
  <c r="C286" i="2"/>
  <c r="B286" i="2"/>
  <c r="A286" i="2"/>
  <c r="D367" i="2"/>
  <c r="C367" i="2"/>
  <c r="B367" i="2"/>
  <c r="A367" i="2"/>
  <c r="D366" i="2"/>
  <c r="C366" i="2"/>
  <c r="B366" i="2"/>
  <c r="A366" i="2"/>
  <c r="D344" i="2"/>
  <c r="C344" i="2"/>
  <c r="B344" i="2"/>
  <c r="A344" i="2"/>
  <c r="D130" i="2"/>
  <c r="C130" i="2"/>
  <c r="B130" i="2"/>
  <c r="A130" i="2"/>
  <c r="D428" i="2"/>
  <c r="C428" i="2"/>
  <c r="B428" i="2"/>
  <c r="A428" i="2"/>
  <c r="D391" i="2"/>
  <c r="C391" i="2"/>
  <c r="B391" i="2"/>
  <c r="A391" i="2"/>
  <c r="D492" i="2"/>
  <c r="C492" i="2"/>
  <c r="B492" i="2"/>
  <c r="A492" i="2"/>
  <c r="D72" i="2"/>
  <c r="C72" i="2"/>
  <c r="B72" i="2"/>
  <c r="A72" i="2"/>
  <c r="D393" i="2"/>
  <c r="C393" i="2"/>
  <c r="B393" i="2"/>
  <c r="A393" i="2"/>
  <c r="D347" i="2"/>
  <c r="C347" i="2"/>
  <c r="B347" i="2"/>
  <c r="A347" i="2"/>
  <c r="D430" i="2"/>
  <c r="C430" i="2"/>
  <c r="B430" i="2"/>
  <c r="A430" i="2"/>
  <c r="D303" i="2"/>
  <c r="C303" i="2"/>
  <c r="B303" i="2"/>
  <c r="A303" i="2"/>
  <c r="D168" i="2"/>
  <c r="C168" i="2"/>
  <c r="B168" i="2"/>
  <c r="A168" i="2"/>
  <c r="D167" i="2"/>
  <c r="C167" i="2"/>
  <c r="B167" i="2"/>
  <c r="A167" i="2"/>
  <c r="D272" i="2"/>
  <c r="C272" i="2"/>
  <c r="B272" i="2"/>
  <c r="A272" i="2"/>
  <c r="D345" i="2"/>
  <c r="C345" i="2"/>
  <c r="B345" i="2"/>
  <c r="A345" i="2"/>
  <c r="D340" i="2"/>
  <c r="C340" i="2"/>
  <c r="B340" i="2"/>
  <c r="A340" i="2"/>
  <c r="D352" i="2"/>
  <c r="C352" i="2"/>
  <c r="B352" i="2"/>
  <c r="A352" i="2"/>
  <c r="D132" i="2"/>
  <c r="C132" i="2"/>
  <c r="B132" i="2"/>
  <c r="A132" i="2"/>
  <c r="D131" i="2"/>
  <c r="C131" i="2"/>
  <c r="B131" i="2"/>
  <c r="A131" i="2"/>
  <c r="D82" i="2"/>
  <c r="C82" i="2"/>
  <c r="B82" i="2"/>
  <c r="A82" i="2"/>
  <c r="D73" i="2"/>
  <c r="C73" i="2"/>
  <c r="B73" i="2"/>
  <c r="A73" i="2"/>
  <c r="D316" i="2"/>
  <c r="C316" i="2"/>
  <c r="B316" i="2"/>
  <c r="A316" i="2"/>
  <c r="D427" i="2"/>
  <c r="C427" i="2"/>
  <c r="B427" i="2"/>
  <c r="A427" i="2"/>
  <c r="D512" i="2"/>
  <c r="C512" i="2"/>
  <c r="B512" i="2"/>
  <c r="A512" i="2"/>
  <c r="D160" i="2"/>
  <c r="C160" i="2"/>
  <c r="B160" i="2"/>
  <c r="A160" i="2"/>
  <c r="D365" i="2"/>
  <c r="C365" i="2"/>
  <c r="B365" i="2"/>
  <c r="A365" i="2"/>
  <c r="D364" i="2"/>
  <c r="C364" i="2"/>
  <c r="B364" i="2"/>
  <c r="A364" i="2"/>
  <c r="D490" i="2"/>
  <c r="C490" i="2"/>
  <c r="B490" i="2"/>
  <c r="A490" i="2"/>
  <c r="D269" i="2"/>
  <c r="C269" i="2"/>
  <c r="B269" i="2"/>
  <c r="A269" i="2"/>
  <c r="D363" i="2"/>
  <c r="C363" i="2"/>
  <c r="B363" i="2"/>
  <c r="A363" i="2"/>
  <c r="D392" i="2"/>
  <c r="C392" i="2"/>
  <c r="B392" i="2"/>
  <c r="A392" i="2"/>
  <c r="D194" i="2"/>
  <c r="C194" i="2"/>
  <c r="B194" i="2"/>
  <c r="A194" i="2"/>
  <c r="D193" i="2"/>
  <c r="C193" i="2"/>
  <c r="B193" i="2"/>
  <c r="A193" i="2"/>
  <c r="D385" i="2"/>
  <c r="C385" i="2"/>
  <c r="B385" i="2"/>
  <c r="A385" i="2"/>
  <c r="D423" i="2"/>
  <c r="C423" i="2"/>
  <c r="B423" i="2"/>
  <c r="A423" i="2"/>
  <c r="D306" i="2"/>
  <c r="C306" i="2"/>
  <c r="B306" i="2"/>
  <c r="A306" i="2"/>
  <c r="D305" i="2"/>
  <c r="C305" i="2"/>
  <c r="B305" i="2"/>
  <c r="A305" i="2"/>
  <c r="D422" i="2"/>
  <c r="C422" i="2"/>
  <c r="B422" i="2"/>
  <c r="A422" i="2"/>
  <c r="D343" i="2"/>
  <c r="C343" i="2"/>
  <c r="B343" i="2"/>
  <c r="A343" i="2"/>
  <c r="D623" i="2"/>
  <c r="C623" i="2"/>
  <c r="B623" i="2"/>
  <c r="A623" i="2"/>
  <c r="D384" i="2"/>
  <c r="C384" i="2"/>
  <c r="B384" i="2"/>
  <c r="A384" i="2"/>
  <c r="D412" i="2"/>
  <c r="C412" i="2"/>
  <c r="B412" i="2"/>
  <c r="A412" i="2"/>
  <c r="D312" i="2"/>
  <c r="C312" i="2"/>
  <c r="B312" i="2"/>
  <c r="A312" i="2"/>
  <c r="D440" i="2"/>
  <c r="C440" i="2"/>
  <c r="B440" i="2"/>
  <c r="A440" i="2"/>
  <c r="D189" i="2"/>
  <c r="C189" i="2"/>
  <c r="B189" i="2"/>
  <c r="A189" i="2"/>
  <c r="D66" i="2"/>
  <c r="C66" i="2"/>
  <c r="B66" i="2"/>
  <c r="A66" i="2"/>
  <c r="D293" i="2"/>
  <c r="C293" i="2"/>
  <c r="B293" i="2"/>
  <c r="A293" i="2"/>
  <c r="D285" i="2"/>
  <c r="C285" i="2"/>
  <c r="B285" i="2"/>
  <c r="A285" i="2"/>
  <c r="D426" i="2"/>
  <c r="C426" i="2"/>
  <c r="B426" i="2"/>
  <c r="A426" i="2"/>
  <c r="D425" i="2"/>
  <c r="C425" i="2"/>
  <c r="B425" i="2"/>
  <c r="A425" i="2"/>
  <c r="D284" i="2"/>
  <c r="C284" i="2"/>
  <c r="B284" i="2"/>
  <c r="A284" i="2"/>
  <c r="D295" i="2"/>
  <c r="C295" i="2"/>
  <c r="B295" i="2"/>
  <c r="A295" i="2"/>
  <c r="D266" i="2"/>
  <c r="C266" i="2"/>
  <c r="B266" i="2"/>
  <c r="A266" i="2"/>
  <c r="D424" i="2"/>
  <c r="C424" i="2"/>
  <c r="B424" i="2"/>
  <c r="A424" i="2"/>
  <c r="D294" i="2"/>
  <c r="C294" i="2"/>
  <c r="B294" i="2"/>
  <c r="A294" i="2"/>
  <c r="D397" i="2"/>
  <c r="C397" i="2"/>
  <c r="B397" i="2"/>
  <c r="A397" i="2"/>
  <c r="D97" i="2"/>
  <c r="C97" i="2"/>
  <c r="B97" i="2"/>
  <c r="A97" i="2"/>
  <c r="D102" i="2"/>
  <c r="C102" i="2"/>
  <c r="B102" i="2"/>
  <c r="A102" i="2"/>
  <c r="D484" i="2"/>
  <c r="C484" i="2"/>
  <c r="B484" i="2"/>
  <c r="A484" i="2"/>
  <c r="D123" i="2"/>
  <c r="C123" i="2"/>
  <c r="B123" i="2"/>
  <c r="A123" i="2"/>
  <c r="D104" i="2"/>
  <c r="C104" i="2"/>
  <c r="B104" i="2"/>
  <c r="A104" i="2"/>
  <c r="D103" i="2"/>
  <c r="C103" i="2"/>
  <c r="B103" i="2"/>
  <c r="A103" i="2"/>
  <c r="D79" i="2"/>
  <c r="C79" i="2"/>
  <c r="B79" i="2"/>
  <c r="A79" i="2"/>
  <c r="D89" i="2"/>
  <c r="C89" i="2"/>
  <c r="B89" i="2"/>
  <c r="A89" i="2"/>
  <c r="D112" i="2"/>
  <c r="C112" i="2"/>
  <c r="B112" i="2"/>
  <c r="A112" i="2"/>
  <c r="D135" i="2"/>
  <c r="C135" i="2"/>
  <c r="B135" i="2"/>
  <c r="A135" i="2"/>
  <c r="D150" i="2"/>
  <c r="C150" i="2"/>
  <c r="B150" i="2"/>
  <c r="A150" i="2"/>
  <c r="D298" i="2"/>
  <c r="C298" i="2"/>
  <c r="B298" i="2"/>
  <c r="A298" i="2"/>
  <c r="D413" i="2"/>
  <c r="C413" i="2"/>
  <c r="B413" i="2"/>
  <c r="A413" i="2"/>
  <c r="D362" i="2"/>
  <c r="C362" i="2"/>
  <c r="B362" i="2"/>
  <c r="A362" i="2"/>
  <c r="D361" i="2"/>
  <c r="C361" i="2"/>
  <c r="B361" i="2"/>
  <c r="A361" i="2"/>
  <c r="D360" i="2"/>
  <c r="C360" i="2"/>
  <c r="B360" i="2"/>
  <c r="A360" i="2"/>
  <c r="D383" i="2"/>
  <c r="C383" i="2"/>
  <c r="B383" i="2"/>
  <c r="A383" i="2"/>
  <c r="D489" i="2"/>
  <c r="C489" i="2"/>
  <c r="B489" i="2"/>
  <c r="A489" i="2"/>
  <c r="D509" i="2"/>
  <c r="C509" i="2"/>
  <c r="B509" i="2"/>
  <c r="A509" i="2"/>
  <c r="D29" i="2"/>
  <c r="C29" i="2"/>
  <c r="B29" i="2"/>
  <c r="A29" i="2"/>
  <c r="D301" i="2"/>
  <c r="C301" i="2"/>
  <c r="B301" i="2"/>
  <c r="A301" i="2"/>
  <c r="D78" i="2"/>
  <c r="C78" i="2"/>
  <c r="B78" i="2"/>
  <c r="A78" i="2"/>
  <c r="D134" i="2"/>
  <c r="C134" i="2"/>
  <c r="B134" i="2"/>
  <c r="A134" i="2"/>
  <c r="D488" i="2"/>
  <c r="C488" i="2"/>
  <c r="B488" i="2"/>
  <c r="A488" i="2"/>
  <c r="D498" i="2"/>
  <c r="C498" i="2"/>
  <c r="B498" i="2"/>
  <c r="A498" i="2"/>
  <c r="D597" i="2"/>
  <c r="C597" i="2"/>
  <c r="B597" i="2"/>
  <c r="A597" i="2"/>
  <c r="D188" i="2"/>
  <c r="C188" i="2"/>
  <c r="B188" i="2"/>
  <c r="A188" i="2"/>
  <c r="D65" i="2"/>
  <c r="C65" i="2"/>
  <c r="B65" i="2"/>
  <c r="A65" i="2"/>
  <c r="D292" i="2"/>
  <c r="C292" i="2"/>
  <c r="B292" i="2"/>
  <c r="A292" i="2"/>
  <c r="D55" i="2"/>
  <c r="C55" i="2"/>
  <c r="B55" i="2"/>
  <c r="A55" i="2"/>
  <c r="D311" i="2"/>
  <c r="C311" i="2"/>
  <c r="B311" i="2"/>
  <c r="A311" i="2"/>
  <c r="D439" i="2"/>
  <c r="C439" i="2"/>
  <c r="B439" i="2"/>
  <c r="A439" i="2"/>
  <c r="D528" i="2"/>
  <c r="C528" i="2"/>
  <c r="B528" i="2"/>
  <c r="A528" i="2"/>
  <c r="D570" i="2"/>
  <c r="C570" i="2"/>
  <c r="B570" i="2"/>
  <c r="A570" i="2"/>
  <c r="D38" i="2"/>
  <c r="C38" i="2"/>
  <c r="B38" i="2"/>
  <c r="A38" i="2"/>
  <c r="D237" i="2"/>
  <c r="C237" i="2"/>
  <c r="B237" i="2"/>
  <c r="A237" i="2"/>
  <c r="D259" i="2"/>
  <c r="C259" i="2"/>
  <c r="B259" i="2"/>
  <c r="A259" i="2"/>
  <c r="D501" i="2"/>
  <c r="C501" i="2"/>
  <c r="B501" i="2"/>
  <c r="A501" i="2"/>
  <c r="D37" i="2"/>
  <c r="C37" i="2"/>
  <c r="B37" i="2"/>
  <c r="A37" i="2"/>
  <c r="D283" i="2"/>
  <c r="C283" i="2"/>
  <c r="B283" i="2"/>
  <c r="A283" i="2"/>
  <c r="D411" i="2"/>
  <c r="C411" i="2"/>
  <c r="B411" i="2"/>
  <c r="A411" i="2"/>
  <c r="D346" i="2"/>
  <c r="C346" i="2"/>
  <c r="B346" i="2"/>
  <c r="A346" i="2"/>
  <c r="D133" i="2"/>
  <c r="C133" i="2"/>
  <c r="B133" i="2"/>
  <c r="A133" i="2"/>
  <c r="D373" i="2"/>
  <c r="C373" i="2"/>
  <c r="B373" i="2"/>
  <c r="A373" i="2"/>
  <c r="D372" i="2"/>
  <c r="C372" i="2"/>
  <c r="B372" i="2"/>
  <c r="A372" i="2"/>
  <c r="D371" i="2"/>
  <c r="C371" i="2"/>
  <c r="B371" i="2"/>
  <c r="A371" i="2"/>
  <c r="D370" i="2"/>
  <c r="C370" i="2"/>
  <c r="B370" i="2"/>
  <c r="A370" i="2"/>
  <c r="D253" i="2"/>
  <c r="C253" i="2"/>
  <c r="B253" i="2"/>
  <c r="A253" i="2"/>
  <c r="D88" i="2"/>
  <c r="C88" i="2"/>
  <c r="B88" i="2"/>
  <c r="A88" i="2"/>
  <c r="D93" i="2"/>
  <c r="C93" i="2"/>
  <c r="B93" i="2"/>
  <c r="A93" i="2"/>
  <c r="D369" i="2"/>
  <c r="C369" i="2"/>
  <c r="B369" i="2"/>
  <c r="A369" i="2"/>
  <c r="D538" i="2"/>
  <c r="C538" i="2"/>
  <c r="B538" i="2"/>
  <c r="A538" i="2"/>
  <c r="D537" i="2"/>
  <c r="C537" i="2"/>
  <c r="B537" i="2"/>
  <c r="A537" i="2"/>
  <c r="D138" i="2"/>
  <c r="C138" i="2"/>
  <c r="B138" i="2"/>
  <c r="A138" i="2"/>
  <c r="D252" i="2"/>
  <c r="C252" i="2"/>
  <c r="B252" i="2"/>
  <c r="A252" i="2"/>
  <c r="D251" i="2"/>
  <c r="C251" i="2"/>
  <c r="B251" i="2"/>
  <c r="A251" i="2"/>
  <c r="D300" i="2"/>
  <c r="C300" i="2"/>
  <c r="B300" i="2"/>
  <c r="A300" i="2"/>
  <c r="D339" i="2"/>
  <c r="C339" i="2"/>
  <c r="B339" i="2"/>
  <c r="A339" i="2"/>
  <c r="D122" i="2"/>
  <c r="C122" i="2"/>
  <c r="B122" i="2"/>
  <c r="A122" i="2"/>
  <c r="D121" i="2"/>
  <c r="C121" i="2"/>
  <c r="B121" i="2"/>
  <c r="A121" i="2"/>
  <c r="D120" i="2"/>
  <c r="C120" i="2"/>
  <c r="B120" i="2"/>
  <c r="A120" i="2"/>
  <c r="D536" i="2"/>
  <c r="C536" i="2"/>
  <c r="B536" i="2"/>
  <c r="A536" i="2"/>
  <c r="D535" i="2"/>
  <c r="C535" i="2"/>
  <c r="B535" i="2"/>
  <c r="A535" i="2"/>
  <c r="D500" i="2"/>
  <c r="C500" i="2"/>
  <c r="B500" i="2"/>
  <c r="A500" i="2"/>
  <c r="D499" i="2"/>
  <c r="C499" i="2"/>
  <c r="B499" i="2"/>
  <c r="A499" i="2"/>
  <c r="D264" i="2"/>
  <c r="C264" i="2"/>
  <c r="B264" i="2"/>
  <c r="A264" i="2"/>
  <c r="D263" i="2"/>
  <c r="C263" i="2"/>
  <c r="B263" i="2"/>
  <c r="A263" i="2"/>
  <c r="D262" i="2"/>
  <c r="C262" i="2"/>
  <c r="B262" i="2"/>
  <c r="A262" i="2"/>
  <c r="D546" i="2"/>
  <c r="C546" i="2"/>
  <c r="B546" i="2"/>
  <c r="A546" i="2"/>
  <c r="D456" i="2"/>
  <c r="C456" i="2"/>
  <c r="B456" i="2"/>
  <c r="A456" i="2"/>
  <c r="D431" i="2"/>
  <c r="C431" i="2"/>
  <c r="B431" i="2"/>
  <c r="A431" i="2"/>
  <c r="D111" i="2"/>
  <c r="C111" i="2"/>
  <c r="B111" i="2"/>
  <c r="A111" i="2"/>
  <c r="D86" i="2"/>
  <c r="C86" i="2"/>
  <c r="B86" i="2"/>
  <c r="A86" i="2"/>
  <c r="D406" i="2"/>
  <c r="C406" i="2"/>
  <c r="B406" i="2"/>
  <c r="A406" i="2"/>
  <c r="D77" i="2"/>
  <c r="C77" i="2"/>
  <c r="B77" i="2"/>
  <c r="A77" i="2"/>
  <c r="D110" i="2"/>
  <c r="C110" i="2"/>
  <c r="B110" i="2"/>
  <c r="A110" i="2"/>
  <c r="D28" i="2"/>
  <c r="C28" i="2"/>
  <c r="B28" i="2"/>
  <c r="A28" i="2"/>
  <c r="D527" i="2"/>
  <c r="C527" i="2"/>
  <c r="B527" i="2"/>
  <c r="A527" i="2"/>
  <c r="D203" i="2"/>
  <c r="C203" i="2"/>
  <c r="B203" i="2"/>
  <c r="A203" i="2"/>
  <c r="D27" i="2"/>
  <c r="C27" i="2"/>
  <c r="B27" i="2"/>
  <c r="A27" i="2"/>
  <c r="D526" i="2"/>
  <c r="C526" i="2"/>
  <c r="B526" i="2"/>
  <c r="A526" i="2"/>
  <c r="D615" i="2"/>
  <c r="C615" i="2"/>
  <c r="B615" i="2"/>
  <c r="A615" i="2"/>
  <c r="D26" i="2"/>
  <c r="C26" i="2"/>
  <c r="B26" i="2"/>
  <c r="A26" i="2"/>
  <c r="D596" i="2"/>
  <c r="C596" i="2"/>
  <c r="B596" i="2"/>
  <c r="A596" i="2"/>
  <c r="D534" i="2"/>
  <c r="C534" i="2"/>
  <c r="B534" i="2"/>
  <c r="A534" i="2"/>
  <c r="D554" i="2"/>
  <c r="C554" i="2"/>
  <c r="B554" i="2"/>
  <c r="A554" i="2"/>
  <c r="D460" i="2"/>
  <c r="C460" i="2"/>
  <c r="B460" i="2"/>
  <c r="A460" i="2"/>
  <c r="D410" i="2"/>
  <c r="C410" i="2"/>
  <c r="B410" i="2"/>
  <c r="A410" i="2"/>
  <c r="D271" i="2"/>
  <c r="C271" i="2"/>
  <c r="B271" i="2"/>
  <c r="A271" i="2"/>
  <c r="D584" i="2"/>
  <c r="C584" i="2"/>
  <c r="B584" i="2"/>
  <c r="A584" i="2"/>
  <c r="D181" i="2"/>
  <c r="C181" i="2"/>
  <c r="B181" i="2"/>
  <c r="A181" i="2"/>
  <c r="D351" i="2"/>
  <c r="C351" i="2"/>
  <c r="B351" i="2"/>
  <c r="A351" i="2"/>
  <c r="D350" i="2"/>
  <c r="C350" i="2"/>
  <c r="B350" i="2"/>
  <c r="A350" i="2"/>
  <c r="D349" i="2"/>
  <c r="C349" i="2"/>
  <c r="B349" i="2"/>
  <c r="A349" i="2"/>
  <c r="D348" i="2"/>
  <c r="C348" i="2"/>
  <c r="B348" i="2"/>
  <c r="A348" i="2"/>
  <c r="D396" i="2"/>
  <c r="C396" i="2"/>
  <c r="B396" i="2"/>
  <c r="A396" i="2"/>
  <c r="D224" i="2"/>
  <c r="C224" i="2"/>
  <c r="B224" i="2"/>
  <c r="A224" i="2"/>
  <c r="D223" i="2"/>
  <c r="C223" i="2"/>
  <c r="B223" i="2"/>
  <c r="A223" i="2"/>
  <c r="D220" i="2"/>
  <c r="C220" i="2"/>
  <c r="B220" i="2"/>
  <c r="A220" i="2"/>
  <c r="D206" i="2"/>
  <c r="C206" i="2"/>
  <c r="B206" i="2"/>
  <c r="A206" i="2"/>
  <c r="D218" i="2"/>
  <c r="C218" i="2"/>
  <c r="B218" i="2"/>
  <c r="A218" i="2"/>
  <c r="D557" i="2"/>
  <c r="C557" i="2"/>
  <c r="B557" i="2"/>
  <c r="A557" i="2"/>
  <c r="D556" i="2"/>
  <c r="C556" i="2"/>
  <c r="B556" i="2"/>
  <c r="A556" i="2"/>
  <c r="D550" i="2"/>
  <c r="C550" i="2"/>
  <c r="B550" i="2"/>
  <c r="A550" i="2"/>
  <c r="D530" i="2"/>
  <c r="C530" i="2"/>
  <c r="B530" i="2"/>
  <c r="A530" i="2"/>
  <c r="D547" i="2"/>
  <c r="C547" i="2"/>
  <c r="B547" i="2"/>
  <c r="A547" i="2"/>
  <c r="D463" i="2"/>
  <c r="C463" i="2"/>
  <c r="B463" i="2"/>
  <c r="A463" i="2"/>
  <c r="D462" i="2"/>
  <c r="C462" i="2"/>
  <c r="B462" i="2"/>
  <c r="A462" i="2"/>
  <c r="D459" i="2"/>
  <c r="C459" i="2"/>
  <c r="B459" i="2"/>
  <c r="A459" i="2"/>
  <c r="D446" i="2"/>
  <c r="C446" i="2"/>
  <c r="B446" i="2"/>
  <c r="A446" i="2"/>
  <c r="D457" i="2"/>
  <c r="C457" i="2"/>
  <c r="B457" i="2"/>
  <c r="A457" i="2"/>
  <c r="D402" i="2"/>
  <c r="C402" i="2"/>
  <c r="B402" i="2"/>
  <c r="A402" i="2"/>
  <c r="D159" i="2"/>
  <c r="C159" i="2"/>
  <c r="B159" i="2"/>
  <c r="A159" i="2"/>
  <c r="D342" i="2"/>
  <c r="C342" i="2"/>
  <c r="B342" i="2"/>
  <c r="A342" i="2"/>
  <c r="D98" i="2"/>
  <c r="C98" i="2"/>
  <c r="B98" i="2"/>
  <c r="A98" i="2"/>
  <c r="D36" i="2"/>
  <c r="C36" i="2"/>
  <c r="B36" i="2"/>
  <c r="A36" i="2"/>
  <c r="D569" i="2"/>
  <c r="C569" i="2"/>
  <c r="B569" i="2"/>
  <c r="A569" i="2"/>
  <c r="D568" i="2"/>
  <c r="C568" i="2"/>
  <c r="B568" i="2"/>
  <c r="A568" i="2"/>
  <c r="D35" i="2"/>
  <c r="C35" i="2"/>
  <c r="B35" i="2"/>
  <c r="A35" i="2"/>
  <c r="D567" i="2"/>
  <c r="C567" i="2"/>
  <c r="B567" i="2"/>
  <c r="A567" i="2"/>
  <c r="D315" i="2"/>
  <c r="C315" i="2"/>
  <c r="B315" i="2"/>
  <c r="A315" i="2"/>
  <c r="D139" i="2"/>
  <c r="C139" i="2"/>
  <c r="B139" i="2"/>
  <c r="A139" i="2"/>
  <c r="D126" i="2"/>
  <c r="C126" i="2"/>
  <c r="B126" i="2"/>
  <c r="A126" i="2"/>
  <c r="D433" i="2"/>
  <c r="C433" i="2"/>
  <c r="B433" i="2"/>
  <c r="A433" i="2"/>
  <c r="D566" i="2"/>
  <c r="C566" i="2"/>
  <c r="B566" i="2"/>
  <c r="A566" i="2"/>
  <c r="D148" i="2"/>
  <c r="C148" i="2"/>
  <c r="B148" i="2"/>
  <c r="A148" i="2"/>
  <c r="D147" i="2"/>
  <c r="C147" i="2"/>
  <c r="B147" i="2"/>
  <c r="A147" i="2"/>
  <c r="D296" i="2"/>
  <c r="C296" i="2"/>
  <c r="B296" i="2"/>
  <c r="A296" i="2"/>
  <c r="D354" i="2"/>
  <c r="C354" i="2"/>
  <c r="B354" i="2"/>
  <c r="A354" i="2"/>
  <c r="D192" i="2"/>
  <c r="C192" i="2"/>
  <c r="B192" i="2"/>
  <c r="A192" i="2"/>
  <c r="D486" i="2"/>
  <c r="C486" i="2"/>
  <c r="B486" i="2"/>
  <c r="A486" i="2"/>
  <c r="D590" i="2"/>
  <c r="C590" i="2"/>
  <c r="B590" i="2"/>
  <c r="A590" i="2"/>
  <c r="D18" i="2"/>
  <c r="C18" i="2"/>
  <c r="B18" i="2"/>
  <c r="A18" i="2"/>
  <c r="D333" i="2"/>
  <c r="C333" i="2"/>
  <c r="B333" i="2"/>
  <c r="A333" i="2"/>
  <c r="D336" i="2"/>
  <c r="C336" i="2"/>
  <c r="B336" i="2"/>
  <c r="A336" i="2"/>
  <c r="D335" i="2"/>
  <c r="C335" i="2"/>
  <c r="B335" i="2"/>
  <c r="A335" i="2"/>
  <c r="D331" i="2"/>
  <c r="C331" i="2"/>
  <c r="B331" i="2"/>
  <c r="A331" i="2"/>
  <c r="D140" i="2"/>
  <c r="C140" i="2"/>
  <c r="B140" i="2"/>
  <c r="A140" i="2"/>
  <c r="D327" i="2"/>
  <c r="C327" i="2"/>
  <c r="B327" i="2"/>
  <c r="A327" i="2"/>
  <c r="D326" i="2"/>
  <c r="C326" i="2"/>
  <c r="B326" i="2"/>
  <c r="A326" i="2"/>
  <c r="D74" i="2"/>
  <c r="C74" i="2"/>
  <c r="B74" i="2"/>
  <c r="A74" i="2"/>
  <c r="D330" i="2"/>
  <c r="C330" i="2"/>
  <c r="B330" i="2"/>
  <c r="A330" i="2"/>
  <c r="D518" i="2"/>
  <c r="C518" i="2"/>
  <c r="B518" i="2"/>
  <c r="A518" i="2"/>
  <c r="D332" i="2"/>
  <c r="C332" i="2"/>
  <c r="B332" i="2"/>
  <c r="A332" i="2"/>
  <c r="D329" i="2"/>
  <c r="C329" i="2"/>
  <c r="B329" i="2"/>
  <c r="A329" i="2"/>
  <c r="D17" i="2"/>
  <c r="C17" i="2"/>
  <c r="B17" i="2"/>
  <c r="A17" i="2"/>
  <c r="D191" i="2"/>
  <c r="C191" i="2"/>
  <c r="B191" i="2"/>
  <c r="A191" i="2"/>
  <c r="D328" i="2"/>
  <c r="C328" i="2"/>
  <c r="B328" i="2"/>
  <c r="A328" i="2"/>
  <c r="D16" i="2"/>
  <c r="C16" i="2"/>
  <c r="B16" i="2"/>
  <c r="A16" i="2"/>
  <c r="D477" i="2"/>
  <c r="C477" i="2"/>
  <c r="B477" i="2"/>
  <c r="A477" i="2"/>
  <c r="D614" i="2"/>
  <c r="C614" i="2"/>
  <c r="B614" i="2"/>
  <c r="A614" i="2"/>
  <c r="D589" i="2"/>
  <c r="C589" i="2"/>
  <c r="B589" i="2"/>
  <c r="A589" i="2"/>
  <c r="D353" i="2"/>
  <c r="C353" i="2"/>
  <c r="B353" i="2"/>
  <c r="A353" i="2"/>
  <c r="D15" i="2"/>
  <c r="C15" i="2"/>
  <c r="B15" i="2"/>
  <c r="A15" i="2"/>
  <c r="D517" i="2"/>
  <c r="C517" i="2"/>
  <c r="B517" i="2"/>
  <c r="A517" i="2"/>
  <c r="D291" i="2"/>
  <c r="C291" i="2"/>
  <c r="B291" i="2"/>
  <c r="A291" i="2"/>
  <c r="D564" i="2"/>
  <c r="C564" i="2"/>
  <c r="B564" i="2"/>
  <c r="A564" i="2"/>
  <c r="D563" i="2"/>
  <c r="C563" i="2"/>
  <c r="B563" i="2"/>
  <c r="A563" i="2"/>
  <c r="D71" i="2"/>
  <c r="C71" i="2"/>
  <c r="B71" i="2"/>
  <c r="A71" i="2"/>
  <c r="D562" i="2"/>
  <c r="C562" i="2"/>
  <c r="B562" i="2"/>
  <c r="A562" i="2"/>
  <c r="D561" i="2"/>
  <c r="C561" i="2"/>
  <c r="B561" i="2"/>
  <c r="A561" i="2"/>
  <c r="D560" i="2"/>
  <c r="C560" i="2"/>
  <c r="B560" i="2"/>
  <c r="A560" i="2"/>
  <c r="D559" i="2"/>
  <c r="C559" i="2"/>
  <c r="B559" i="2"/>
  <c r="A559" i="2"/>
  <c r="D558" i="2"/>
  <c r="C558" i="2"/>
  <c r="B558" i="2"/>
  <c r="A558" i="2"/>
  <c r="D555" i="2"/>
  <c r="C555" i="2"/>
  <c r="B555" i="2"/>
  <c r="A555" i="2"/>
  <c r="D461" i="2"/>
  <c r="C461" i="2"/>
  <c r="B461" i="2"/>
  <c r="A461" i="2"/>
  <c r="D574" i="2"/>
  <c r="C574" i="2"/>
  <c r="B574" i="2"/>
  <c r="A574" i="2"/>
  <c r="D573" i="2"/>
  <c r="C573" i="2"/>
  <c r="B573" i="2"/>
  <c r="A573" i="2"/>
  <c r="D572" i="2"/>
  <c r="C572" i="2"/>
  <c r="B572" i="2"/>
  <c r="A572" i="2"/>
  <c r="D565" i="2"/>
  <c r="C565" i="2"/>
  <c r="B565" i="2"/>
  <c r="A565" i="2"/>
  <c r="D521" i="2"/>
  <c r="C521" i="2"/>
  <c r="B521" i="2"/>
  <c r="A521" i="2"/>
  <c r="D467" i="2"/>
  <c r="C467" i="2"/>
  <c r="B467" i="2"/>
  <c r="A467" i="2"/>
  <c r="D466" i="2"/>
  <c r="C466" i="2"/>
  <c r="B466" i="2"/>
  <c r="A466" i="2"/>
  <c r="D465" i="2"/>
  <c r="C465" i="2"/>
  <c r="B465" i="2"/>
  <c r="A465" i="2"/>
  <c r="D464" i="2"/>
  <c r="C464" i="2"/>
  <c r="B464" i="2"/>
  <c r="A464" i="2"/>
  <c r="D438" i="2"/>
  <c r="C438" i="2"/>
  <c r="B438" i="2"/>
  <c r="A438" i="2"/>
  <c r="D442" i="2"/>
  <c r="C442" i="2"/>
  <c r="B442" i="2"/>
  <c r="A442" i="2"/>
  <c r="D508" i="2"/>
  <c r="C508" i="2"/>
  <c r="B508" i="2"/>
  <c r="A508" i="2"/>
  <c r="D180" i="2"/>
  <c r="C180" i="2"/>
  <c r="B180" i="2"/>
  <c r="A180" i="2"/>
  <c r="D390" i="2"/>
  <c r="C390" i="2"/>
  <c r="B390" i="2"/>
  <c r="A390" i="2"/>
  <c r="D128" i="2"/>
  <c r="C128" i="2"/>
  <c r="B128" i="2"/>
  <c r="A128" i="2"/>
  <c r="D507" i="2"/>
  <c r="C507" i="2"/>
  <c r="B507" i="2"/>
  <c r="A507" i="2"/>
  <c r="D187" i="2"/>
  <c r="C187" i="2"/>
  <c r="B187" i="2"/>
  <c r="A187" i="2"/>
  <c r="D437" i="2"/>
  <c r="C437" i="2"/>
  <c r="B437" i="2"/>
  <c r="A437" i="2"/>
  <c r="D222" i="2"/>
  <c r="C222" i="2"/>
  <c r="B222" i="2"/>
  <c r="A222" i="2"/>
  <c r="D238" i="2"/>
  <c r="C238" i="2"/>
  <c r="B238" i="2"/>
  <c r="A238" i="2"/>
  <c r="D239" i="2"/>
  <c r="C239" i="2"/>
  <c r="B239" i="2"/>
  <c r="A239" i="2"/>
  <c r="D198" i="2"/>
  <c r="C198" i="2"/>
  <c r="B198" i="2"/>
  <c r="A198" i="2"/>
  <c r="D525" i="2"/>
  <c r="C525" i="2"/>
  <c r="B525" i="2"/>
  <c r="A525" i="2"/>
  <c r="D25" i="2"/>
  <c r="C25" i="2"/>
  <c r="B25" i="2"/>
  <c r="A25" i="2"/>
  <c r="D290" i="2"/>
  <c r="C290" i="2"/>
  <c r="B290" i="2"/>
  <c r="A290" i="2"/>
  <c r="D289" i="2"/>
  <c r="C289" i="2"/>
  <c r="B289" i="2"/>
  <c r="A289" i="2"/>
  <c r="D395" i="2"/>
  <c r="C395" i="2"/>
  <c r="B395" i="2"/>
  <c r="A395" i="2"/>
  <c r="D394" i="2"/>
  <c r="C394" i="2"/>
  <c r="B394" i="2"/>
  <c r="A394" i="2"/>
  <c r="D32" i="2"/>
  <c r="C32" i="2"/>
  <c r="B32" i="2"/>
  <c r="A32" i="2"/>
  <c r="D548" i="2"/>
  <c r="C548" i="2"/>
  <c r="B548" i="2"/>
  <c r="A548" i="2"/>
  <c r="D421" i="2"/>
  <c r="C421" i="2"/>
  <c r="B421" i="2"/>
  <c r="A421" i="2"/>
  <c r="D162" i="2"/>
  <c r="C162" i="2"/>
  <c r="B162" i="2"/>
  <c r="A162" i="2"/>
  <c r="D146" i="2"/>
  <c r="C146" i="2"/>
  <c r="B146" i="2"/>
  <c r="A146" i="2"/>
  <c r="D288" i="2"/>
  <c r="C288" i="2"/>
  <c r="B288" i="2"/>
  <c r="A288" i="2"/>
  <c r="D553" i="2"/>
  <c r="C553" i="2"/>
  <c r="B553" i="2"/>
  <c r="A553" i="2"/>
  <c r="D179" i="2"/>
  <c r="C179" i="2"/>
  <c r="B179" i="2"/>
  <c r="A179" i="2"/>
  <c r="D299" i="2"/>
  <c r="C299" i="2"/>
  <c r="B299" i="2"/>
  <c r="A299" i="2"/>
  <c r="D158" i="2"/>
  <c r="C158" i="2"/>
  <c r="B158" i="2"/>
  <c r="A158" i="2"/>
  <c r="D417" i="2"/>
  <c r="C417" i="2"/>
  <c r="B417" i="2"/>
  <c r="A417" i="2"/>
  <c r="D506" i="2"/>
  <c r="C506" i="2"/>
  <c r="B506" i="2"/>
  <c r="A506" i="2"/>
  <c r="D287" i="2"/>
  <c r="C287" i="2"/>
  <c r="B287" i="2"/>
  <c r="A287" i="2"/>
  <c r="D358" i="2"/>
  <c r="C358" i="2"/>
  <c r="B358" i="2"/>
  <c r="A358" i="2"/>
  <c r="D68" i="2"/>
  <c r="C68" i="2"/>
  <c r="B68" i="2"/>
  <c r="A68" i="2"/>
  <c r="D202" i="2"/>
  <c r="C202" i="2"/>
  <c r="B202" i="2"/>
  <c r="A202" i="2"/>
  <c r="D43" i="2"/>
  <c r="C43" i="2"/>
  <c r="B43" i="2"/>
  <c r="A43" i="2"/>
  <c r="D524" i="2"/>
  <c r="C524" i="2"/>
  <c r="B524" i="2"/>
  <c r="A524" i="2"/>
  <c r="D476" i="2"/>
  <c r="C476" i="2"/>
  <c r="B476" i="2"/>
  <c r="A476" i="2"/>
  <c r="D201" i="2"/>
  <c r="C201" i="2"/>
  <c r="B201" i="2"/>
  <c r="A201" i="2"/>
  <c r="D42" i="2"/>
  <c r="C42" i="2"/>
  <c r="B42" i="2"/>
  <c r="A42" i="2"/>
  <c r="D593" i="2"/>
  <c r="C593" i="2"/>
  <c r="B593" i="2"/>
  <c r="A593" i="2"/>
  <c r="D409" i="2"/>
  <c r="C409" i="2"/>
  <c r="B409" i="2"/>
  <c r="A409" i="2"/>
  <c r="D145" i="2"/>
  <c r="C145" i="2"/>
  <c r="B145" i="2"/>
  <c r="A145" i="2"/>
  <c r="D144" i="2"/>
  <c r="C144" i="2"/>
  <c r="B144" i="2"/>
  <c r="A144" i="2"/>
  <c r="D143" i="2"/>
  <c r="C143" i="2"/>
  <c r="B143" i="2"/>
  <c r="A143" i="2"/>
  <c r="D54" i="2"/>
  <c r="C54" i="2"/>
  <c r="B54" i="2"/>
  <c r="A54" i="2"/>
  <c r="D182" i="2"/>
  <c r="C182" i="2"/>
  <c r="B182" i="2"/>
  <c r="A182" i="2"/>
  <c r="D59" i="2"/>
  <c r="C59" i="2"/>
  <c r="B59" i="2"/>
  <c r="A59" i="2"/>
  <c r="D497" i="2"/>
  <c r="C497" i="2"/>
  <c r="B497" i="2"/>
  <c r="A497" i="2"/>
  <c r="D165" i="2"/>
  <c r="C165" i="2"/>
  <c r="B165" i="2"/>
  <c r="A165" i="2"/>
  <c r="D401" i="2"/>
  <c r="C401" i="2"/>
  <c r="B401" i="2"/>
  <c r="A401" i="2"/>
  <c r="D317" i="2"/>
  <c r="C317" i="2"/>
  <c r="B317" i="2"/>
  <c r="A317" i="2"/>
  <c r="D308" i="2"/>
  <c r="C308" i="2"/>
  <c r="B308" i="2"/>
  <c r="A308" i="2"/>
  <c r="D610" i="2"/>
  <c r="C610" i="2"/>
  <c r="B610" i="2"/>
  <c r="A610" i="2"/>
  <c r="D34" i="2"/>
  <c r="C34" i="2"/>
  <c r="B34" i="2"/>
  <c r="A34" i="2"/>
  <c r="D552" i="2"/>
  <c r="C552" i="2"/>
  <c r="B552" i="2"/>
  <c r="A552" i="2"/>
  <c r="D81" i="2"/>
  <c r="C81" i="2"/>
  <c r="B81" i="2"/>
  <c r="A81" i="2"/>
  <c r="D178" i="2"/>
  <c r="C178" i="2"/>
  <c r="B178" i="2"/>
  <c r="A178" i="2"/>
  <c r="D142" i="2"/>
  <c r="C142" i="2"/>
  <c r="B142" i="2"/>
  <c r="A142" i="2"/>
  <c r="D408" i="2"/>
  <c r="C408" i="2"/>
  <c r="B408" i="2"/>
  <c r="A408" i="2"/>
  <c r="D436" i="2"/>
  <c r="C436" i="2"/>
  <c r="B436" i="2"/>
  <c r="A436" i="2"/>
  <c r="D141" i="2"/>
  <c r="C141" i="2"/>
  <c r="B141" i="2"/>
  <c r="A141" i="2"/>
  <c r="D511" i="2"/>
  <c r="C511" i="2"/>
  <c r="B511" i="2"/>
  <c r="A511" i="2"/>
  <c r="D313" i="2"/>
  <c r="C313" i="2"/>
  <c r="B313" i="2"/>
  <c r="A313" i="2"/>
  <c r="D161" i="2"/>
  <c r="C161" i="2"/>
  <c r="B161" i="2"/>
  <c r="A161" i="2"/>
  <c r="D177" i="2"/>
  <c r="C177" i="2"/>
  <c r="B177" i="2"/>
  <c r="A177" i="2"/>
  <c r="D420" i="2"/>
  <c r="C420" i="2"/>
  <c r="B420" i="2"/>
  <c r="A420" i="2"/>
  <c r="D419" i="2"/>
  <c r="C419" i="2"/>
  <c r="B419" i="2"/>
  <c r="A419" i="2"/>
  <c r="D586" i="2"/>
  <c r="C586" i="2"/>
  <c r="B586" i="2"/>
  <c r="A586" i="2"/>
  <c r="D585" i="2"/>
  <c r="C585" i="2"/>
  <c r="B585" i="2"/>
  <c r="A585" i="2"/>
  <c r="D56" i="2"/>
  <c r="C56" i="2"/>
  <c r="B56" i="2"/>
  <c r="A56" i="2"/>
  <c r="D575" i="2"/>
  <c r="C575" i="2"/>
  <c r="B575" i="2"/>
  <c r="A575" i="2"/>
  <c r="D241" i="2"/>
  <c r="C241" i="2"/>
  <c r="B241" i="2"/>
  <c r="A241" i="2"/>
  <c r="D443" i="2"/>
  <c r="C443" i="2"/>
  <c r="B443" i="2"/>
  <c r="A443" i="2"/>
  <c r="D522" i="2"/>
  <c r="C522" i="2"/>
  <c r="B522" i="2"/>
  <c r="A522" i="2"/>
  <c r="D199" i="2"/>
  <c r="C199" i="2"/>
  <c r="B199" i="2"/>
  <c r="A199" i="2"/>
  <c r="D76" i="2"/>
  <c r="C76" i="2"/>
  <c r="B76" i="2"/>
  <c r="A76" i="2"/>
  <c r="D571" i="2"/>
  <c r="C571" i="2"/>
  <c r="B571" i="2"/>
  <c r="A571" i="2"/>
  <c r="D458" i="2"/>
  <c r="C458" i="2"/>
  <c r="B458" i="2"/>
  <c r="A458" i="2"/>
  <c r="D219" i="2"/>
  <c r="C219" i="2"/>
  <c r="B219" i="2"/>
  <c r="A219" i="2"/>
  <c r="D118" i="2"/>
  <c r="C118" i="2"/>
  <c r="B118" i="2"/>
  <c r="A118" i="2"/>
  <c r="D242" i="2"/>
  <c r="C242" i="2"/>
  <c r="B242" i="2"/>
  <c r="A242" i="2"/>
  <c r="D129" i="2"/>
  <c r="C129" i="2"/>
  <c r="B129" i="2"/>
  <c r="A129" i="2"/>
  <c r="D432" i="2"/>
  <c r="C432" i="2"/>
  <c r="B432" i="2"/>
  <c r="A432" i="2"/>
  <c r="D435" i="2"/>
  <c r="C435" i="2"/>
  <c r="B435" i="2"/>
  <c r="A435" i="2"/>
  <c r="D505" i="2"/>
  <c r="C505" i="2"/>
  <c r="B505" i="2"/>
  <c r="A505" i="2"/>
  <c r="D469" i="2"/>
  <c r="C469" i="2"/>
  <c r="B469" i="2"/>
  <c r="A469" i="2"/>
  <c r="D95" i="2"/>
  <c r="C95" i="2"/>
  <c r="B95" i="2"/>
  <c r="A95" i="2"/>
  <c r="D119" i="2"/>
  <c r="C119" i="2"/>
  <c r="B119" i="2"/>
  <c r="A119" i="2"/>
  <c r="D137" i="2"/>
  <c r="C137" i="2"/>
  <c r="B137" i="2"/>
  <c r="A137" i="2"/>
  <c r="D166" i="2"/>
  <c r="C166" i="2"/>
  <c r="B166" i="2"/>
  <c r="A166" i="2"/>
  <c r="D249" i="2"/>
  <c r="C249" i="2"/>
  <c r="B249" i="2"/>
  <c r="A249" i="2"/>
  <c r="D302" i="2"/>
  <c r="C302" i="2"/>
  <c r="B302" i="2"/>
  <c r="A302" i="2"/>
  <c r="D334" i="2"/>
  <c r="C334" i="2"/>
  <c r="B334" i="2"/>
  <c r="A334" i="2"/>
  <c r="D341" i="2"/>
  <c r="C341" i="2"/>
  <c r="B341" i="2"/>
  <c r="A341" i="2"/>
  <c r="D374" i="2"/>
  <c r="C374" i="2"/>
  <c r="B374" i="2"/>
  <c r="A374" i="2"/>
  <c r="D258" i="2"/>
  <c r="C258" i="2"/>
  <c r="B258" i="2"/>
  <c r="A258" i="2"/>
  <c r="D400" i="2"/>
  <c r="C400" i="2"/>
  <c r="B400" i="2"/>
  <c r="A400" i="2"/>
  <c r="D404" i="2"/>
  <c r="C404" i="2"/>
  <c r="B404" i="2"/>
  <c r="A404" i="2"/>
  <c r="D416" i="2"/>
  <c r="C416" i="2"/>
  <c r="B416" i="2"/>
  <c r="A416" i="2"/>
  <c r="D61" i="2"/>
  <c r="C61" i="2"/>
  <c r="B61" i="2"/>
  <c r="A61" i="2"/>
  <c r="D80" i="2"/>
  <c r="C80" i="2"/>
  <c r="B80" i="2"/>
  <c r="A80" i="2"/>
  <c r="D87" i="2"/>
  <c r="C87" i="2"/>
  <c r="B87" i="2"/>
  <c r="A87" i="2"/>
  <c r="D248" i="2"/>
  <c r="C248" i="2"/>
  <c r="B248" i="2"/>
  <c r="A248" i="2"/>
  <c r="D149" i="2"/>
  <c r="C149" i="2"/>
  <c r="B149" i="2"/>
  <c r="A149" i="2"/>
  <c r="D382" i="2"/>
  <c r="C382" i="2"/>
  <c r="B382" i="2"/>
  <c r="A382" i="2"/>
  <c r="D307" i="2"/>
  <c r="C307" i="2"/>
  <c r="B307" i="2"/>
  <c r="A307" i="2"/>
  <c r="D429" i="2"/>
  <c r="C429" i="2"/>
  <c r="B429" i="2"/>
  <c r="A429" i="2"/>
  <c r="D577" i="2"/>
  <c r="C577" i="2"/>
  <c r="B577" i="2"/>
  <c r="A577" i="2"/>
  <c r="D33" i="2"/>
  <c r="C33" i="2"/>
  <c r="B33" i="2"/>
  <c r="A33" i="2"/>
  <c r="D12" i="2"/>
  <c r="C12" i="2"/>
  <c r="B12" i="2"/>
  <c r="A12" i="2"/>
  <c r="D551" i="2"/>
  <c r="C551" i="2"/>
  <c r="B551" i="2"/>
  <c r="A551" i="2"/>
  <c r="D510" i="2"/>
  <c r="C510" i="2"/>
  <c r="B510" i="2"/>
  <c r="A510" i="2"/>
  <c r="D504" i="2"/>
  <c r="C504" i="2"/>
  <c r="B504" i="2"/>
  <c r="A504" i="2"/>
  <c r="D170" i="2"/>
  <c r="C170" i="2"/>
  <c r="B170" i="2"/>
  <c r="A170" i="2"/>
  <c r="D186" i="2"/>
  <c r="C186" i="2"/>
  <c r="B186" i="2"/>
  <c r="A186" i="2"/>
  <c r="D309" i="2"/>
  <c r="C309" i="2"/>
  <c r="B309" i="2"/>
  <c r="A309" i="2"/>
  <c r="D256" i="2"/>
  <c r="C256" i="2"/>
  <c r="B256" i="2"/>
  <c r="A256" i="2"/>
  <c r="D255" i="2"/>
  <c r="C255" i="2"/>
  <c r="B255" i="2"/>
  <c r="A255" i="2"/>
  <c r="D254" i="2"/>
  <c r="C254" i="2"/>
  <c r="B254" i="2"/>
  <c r="A254" i="2"/>
  <c r="D70" i="2"/>
  <c r="C70" i="2"/>
  <c r="B70" i="2"/>
  <c r="A70" i="2"/>
  <c r="D109" i="2"/>
  <c r="C109" i="2"/>
  <c r="B109" i="2"/>
  <c r="A109" i="2"/>
  <c r="D108" i="2"/>
  <c r="C108" i="2"/>
  <c r="B108" i="2"/>
  <c r="A108" i="2"/>
  <c r="D418" i="2"/>
  <c r="C418" i="2"/>
  <c r="B418" i="2"/>
  <c r="A418" i="2"/>
  <c r="D270" i="2"/>
  <c r="C270" i="2"/>
  <c r="B270" i="2"/>
  <c r="A270" i="2"/>
  <c r="D434" i="2"/>
  <c r="C434" i="2"/>
  <c r="B434" i="2"/>
  <c r="A434" i="2"/>
  <c r="D503" i="2"/>
  <c r="C503" i="2"/>
  <c r="B503" i="2"/>
  <c r="A503" i="2"/>
  <c r="D185" i="2"/>
  <c r="C185" i="2"/>
  <c r="B185" i="2"/>
  <c r="A185" i="2"/>
  <c r="D107" i="2"/>
  <c r="C107" i="2"/>
  <c r="B107" i="2"/>
  <c r="A107" i="2"/>
  <c r="D157" i="2"/>
  <c r="C157" i="2"/>
  <c r="B157" i="2"/>
  <c r="A157" i="2"/>
  <c r="D156" i="2"/>
  <c r="C156" i="2"/>
  <c r="B156" i="2"/>
  <c r="A156" i="2"/>
  <c r="D576" i="2"/>
  <c r="C576" i="2"/>
  <c r="B576" i="2"/>
  <c r="A576" i="2"/>
  <c r="D60" i="2"/>
  <c r="C60" i="2"/>
  <c r="B60" i="2"/>
  <c r="A60" i="2"/>
  <c r="D106" i="2"/>
  <c r="C106" i="2"/>
  <c r="B106" i="2"/>
  <c r="A106" i="2"/>
  <c r="D468" i="2"/>
  <c r="C468" i="2"/>
  <c r="B468" i="2"/>
  <c r="A468" i="2"/>
  <c r="D85" i="2"/>
  <c r="C85" i="2"/>
  <c r="B85" i="2"/>
  <c r="A85" i="2"/>
  <c r="D24" i="2"/>
  <c r="C24" i="2"/>
  <c r="B24" i="2"/>
  <c r="A24" i="2"/>
  <c r="D105" i="2"/>
  <c r="C105" i="2"/>
  <c r="B105" i="2"/>
  <c r="A105" i="2"/>
  <c r="D84" i="2"/>
  <c r="C84" i="2"/>
  <c r="B84" i="2"/>
  <c r="A84" i="2"/>
  <c r="D304" i="2"/>
  <c r="C304" i="2"/>
  <c r="B304" i="2"/>
  <c r="A304" i="2"/>
  <c r="D310" i="2"/>
  <c r="C310" i="2"/>
  <c r="B310" i="2"/>
  <c r="A310" i="2"/>
  <c r="D337" i="2"/>
  <c r="C337" i="2"/>
  <c r="B337" i="2"/>
  <c r="A337" i="2"/>
  <c r="D200" i="2"/>
  <c r="C200" i="2"/>
  <c r="B200" i="2"/>
  <c r="A200" i="2"/>
  <c r="D444" i="2"/>
  <c r="C444" i="2"/>
  <c r="B444" i="2"/>
  <c r="A444" i="2"/>
  <c r="D523" i="2"/>
  <c r="C523" i="2"/>
  <c r="B523" i="2"/>
  <c r="A523" i="2"/>
  <c r="D297" i="2"/>
  <c r="C297" i="2"/>
  <c r="B297" i="2"/>
  <c r="A297" i="2"/>
  <c r="D69" i="2"/>
  <c r="C69" i="2"/>
  <c r="B69" i="2"/>
  <c r="A69" i="2"/>
  <c r="D265" i="2"/>
  <c r="C265" i="2"/>
  <c r="B265" i="2"/>
  <c r="A265" i="2"/>
  <c r="D211" i="2"/>
  <c r="C211" i="2"/>
  <c r="B211" i="2"/>
  <c r="A211" i="2"/>
  <c r="D449" i="2"/>
  <c r="C449" i="2"/>
  <c r="B449" i="2"/>
  <c r="A449" i="2"/>
  <c r="D539" i="2"/>
  <c r="C539" i="2"/>
  <c r="B539" i="2"/>
  <c r="A539" i="2"/>
  <c r="D172" i="2"/>
  <c r="C172" i="2"/>
  <c r="B172" i="2"/>
  <c r="A172" i="2"/>
  <c r="D580" i="2"/>
  <c r="C580" i="2"/>
  <c r="B580" i="2"/>
  <c r="A580" i="2"/>
  <c r="D447" i="2"/>
  <c r="C447" i="2"/>
  <c r="B447" i="2"/>
  <c r="A447" i="2"/>
  <c r="D531" i="2"/>
  <c r="C531" i="2"/>
  <c r="B531" i="2"/>
  <c r="A531" i="2"/>
  <c r="D91" i="2"/>
  <c r="C91" i="2"/>
  <c r="B91" i="2"/>
  <c r="A91" i="2"/>
  <c r="D90" i="2"/>
  <c r="C90" i="2"/>
  <c r="B90" i="2"/>
  <c r="A90" i="2"/>
  <c r="D155" i="2"/>
  <c r="C155" i="2"/>
  <c r="B155" i="2"/>
  <c r="A155" i="2"/>
  <c r="D101" i="2"/>
  <c r="C101" i="2"/>
  <c r="B101" i="2"/>
  <c r="A101" i="2"/>
  <c r="D154" i="2"/>
  <c r="C154" i="2"/>
  <c r="B154" i="2"/>
  <c r="A154" i="2"/>
  <c r="D153" i="2"/>
  <c r="C153" i="2"/>
  <c r="B153" i="2"/>
  <c r="A153" i="2"/>
  <c r="D583" i="2"/>
  <c r="C583" i="2"/>
  <c r="B583" i="2"/>
  <c r="A583" i="2"/>
  <c r="D475" i="2"/>
  <c r="C475" i="2"/>
  <c r="B475" i="2"/>
  <c r="A475" i="2"/>
  <c r="D582" i="2"/>
  <c r="C582" i="2"/>
  <c r="B582" i="2"/>
  <c r="A582" i="2"/>
  <c r="D474" i="2"/>
  <c r="C474" i="2"/>
  <c r="B474" i="2"/>
  <c r="A474" i="2"/>
  <c r="D100" i="2"/>
  <c r="C100" i="2"/>
  <c r="B100" i="2"/>
  <c r="A100" i="2"/>
  <c r="D152" i="2"/>
  <c r="C152" i="2"/>
  <c r="B152" i="2"/>
  <c r="A152" i="2"/>
  <c r="D250" i="2"/>
  <c r="C250" i="2"/>
  <c r="B250" i="2"/>
  <c r="A250" i="2"/>
  <c r="D169" i="2"/>
  <c r="C169" i="2"/>
  <c r="B169" i="2"/>
  <c r="A169" i="2"/>
  <c r="D549" i="2"/>
  <c r="C549" i="2"/>
  <c r="B549" i="2"/>
  <c r="A549" i="2"/>
  <c r="D213" i="2"/>
  <c r="C213" i="2"/>
  <c r="B213" i="2"/>
  <c r="A213" i="2"/>
  <c r="D541" i="2"/>
  <c r="C541" i="2"/>
  <c r="B541" i="2"/>
  <c r="A541" i="2"/>
  <c r="D451" i="2"/>
  <c r="C451" i="2"/>
  <c r="B451" i="2"/>
  <c r="A451" i="2"/>
  <c r="D217" i="2"/>
  <c r="C217" i="2"/>
  <c r="B217" i="2"/>
  <c r="A217" i="2"/>
  <c r="D545" i="2"/>
  <c r="C545" i="2"/>
  <c r="B545" i="2"/>
  <c r="A545" i="2"/>
  <c r="D455" i="2"/>
  <c r="C455" i="2"/>
  <c r="B455" i="2"/>
  <c r="A455" i="2"/>
  <c r="D212" i="2"/>
  <c r="C212" i="2"/>
  <c r="B212" i="2"/>
  <c r="A212" i="2"/>
  <c r="D540" i="2"/>
  <c r="C540" i="2"/>
  <c r="B540" i="2"/>
  <c r="A540" i="2"/>
  <c r="D450" i="2"/>
  <c r="C450" i="2"/>
  <c r="B450" i="2"/>
  <c r="A450" i="2"/>
  <c r="D163" i="2"/>
  <c r="C163" i="2"/>
  <c r="B163" i="2"/>
  <c r="A163" i="2"/>
  <c r="D403" i="2"/>
  <c r="C403" i="2"/>
  <c r="B403" i="2"/>
  <c r="A403" i="2"/>
  <c r="D215" i="2"/>
  <c r="C215" i="2"/>
  <c r="B215" i="2"/>
  <c r="A215" i="2"/>
  <c r="D453" i="2"/>
  <c r="C453" i="2"/>
  <c r="B453" i="2"/>
  <c r="A453" i="2"/>
  <c r="D543" i="2"/>
  <c r="C543" i="2"/>
  <c r="B543" i="2"/>
  <c r="A543" i="2"/>
  <c r="D471" i="2"/>
  <c r="C471" i="2"/>
  <c r="B471" i="2"/>
  <c r="A471" i="2"/>
  <c r="D579" i="2"/>
  <c r="C579" i="2"/>
  <c r="B579" i="2"/>
  <c r="A579" i="2"/>
  <c r="D472" i="2"/>
  <c r="C472" i="2"/>
  <c r="B472" i="2"/>
  <c r="A472" i="2"/>
  <c r="D210" i="2"/>
  <c r="C210" i="2"/>
  <c r="B210" i="2"/>
  <c r="A210" i="2"/>
  <c r="D470" i="2"/>
  <c r="C470" i="2"/>
  <c r="B470" i="2"/>
  <c r="A470" i="2"/>
  <c r="D578" i="2"/>
  <c r="C578" i="2"/>
  <c r="B578" i="2"/>
  <c r="A578" i="2"/>
  <c r="D171" i="2"/>
  <c r="C171" i="2"/>
  <c r="B171" i="2"/>
  <c r="A171" i="2"/>
  <c r="D533" i="2"/>
  <c r="C533" i="2"/>
  <c r="B533" i="2"/>
  <c r="A533" i="2"/>
  <c r="D448" i="2"/>
  <c r="C448" i="2"/>
  <c r="B448" i="2"/>
  <c r="A448" i="2"/>
  <c r="D261" i="2"/>
  <c r="C261" i="2"/>
  <c r="B261" i="2"/>
  <c r="A261" i="2"/>
  <c r="D164" i="2"/>
  <c r="C164" i="2"/>
  <c r="B164" i="2"/>
  <c r="A164" i="2"/>
  <c r="D216" i="2"/>
  <c r="C216" i="2"/>
  <c r="B216" i="2"/>
  <c r="A216" i="2"/>
  <c r="D544" i="2"/>
  <c r="C544" i="2"/>
  <c r="B544" i="2"/>
  <c r="A544" i="2"/>
  <c r="D454" i="2"/>
  <c r="C454" i="2"/>
  <c r="B454" i="2"/>
  <c r="A454" i="2"/>
  <c r="D94" i="2"/>
  <c r="C94" i="2"/>
  <c r="B94" i="2"/>
  <c r="A94" i="2"/>
  <c r="D542" i="2"/>
  <c r="C542" i="2"/>
  <c r="B542" i="2"/>
  <c r="A542" i="2"/>
  <c r="D214" i="2"/>
  <c r="C214" i="2"/>
  <c r="B214" i="2"/>
  <c r="A214" i="2"/>
  <c r="D92" i="2"/>
  <c r="C92" i="2"/>
  <c r="B92" i="2"/>
  <c r="A92" i="2"/>
  <c r="D452" i="2"/>
  <c r="C452" i="2"/>
  <c r="B452" i="2"/>
  <c r="A452" i="2"/>
  <c r="D532" i="2"/>
  <c r="C532" i="2"/>
  <c r="B532" i="2"/>
  <c r="A532" i="2"/>
  <c r="D116" i="2"/>
  <c r="C116" i="2"/>
  <c r="B116" i="2"/>
  <c r="A116" i="2"/>
  <c r="D117" i="2"/>
  <c r="C117" i="2"/>
  <c r="B117" i="2"/>
  <c r="A117" i="2"/>
  <c r="D407" i="2"/>
  <c r="C407" i="2"/>
  <c r="B407" i="2"/>
  <c r="A407" i="2"/>
  <c r="D240" i="2"/>
  <c r="C240" i="2"/>
  <c r="B240" i="2"/>
  <c r="A240" i="2"/>
  <c r="D125" i="2"/>
  <c r="C125" i="2"/>
  <c r="B125" i="2"/>
  <c r="A125" i="2"/>
  <c r="D124" i="2"/>
  <c r="C124" i="2"/>
  <c r="B124" i="2"/>
  <c r="A124" i="2"/>
  <c r="D493" i="2"/>
  <c r="C493" i="2"/>
  <c r="B493" i="2"/>
  <c r="A493" i="2"/>
  <c r="D495" i="2"/>
  <c r="C495" i="2"/>
  <c r="B495" i="2"/>
  <c r="A495" i="2"/>
  <c r="D613" i="2"/>
  <c r="C613" i="2"/>
  <c r="B613" i="2"/>
  <c r="A613" i="2"/>
  <c r="D612" i="2"/>
  <c r="C612" i="2"/>
  <c r="B612" i="2"/>
  <c r="A612" i="2"/>
  <c r="D595" i="2"/>
  <c r="C595" i="2"/>
  <c r="B595" i="2"/>
  <c r="A595" i="2"/>
  <c r="D594" i="2"/>
  <c r="C594" i="2"/>
  <c r="B594" i="2"/>
  <c r="A594" i="2"/>
  <c r="D602" i="2"/>
  <c r="C602" i="2"/>
  <c r="B602" i="2"/>
  <c r="A602" i="2"/>
  <c r="D599" i="2"/>
  <c r="C599" i="2"/>
  <c r="B599" i="2"/>
  <c r="A599" i="2"/>
  <c r="D588" i="2"/>
  <c r="C588" i="2"/>
  <c r="B588" i="2"/>
  <c r="A588" i="2"/>
  <c r="D611" i="2"/>
  <c r="C611" i="2"/>
  <c r="B611" i="2"/>
  <c r="A611" i="2"/>
  <c r="D485" i="2"/>
  <c r="C485" i="2"/>
  <c r="B485" i="2"/>
  <c r="A485" i="2"/>
  <c r="D601" i="2"/>
  <c r="C601" i="2"/>
  <c r="B601" i="2"/>
  <c r="A601" i="2"/>
  <c r="D587" i="2"/>
  <c r="C587" i="2"/>
  <c r="B587" i="2"/>
  <c r="A587" i="2"/>
  <c r="D598" i="2"/>
  <c r="C598" i="2"/>
  <c r="B598" i="2"/>
  <c r="A598" i="2"/>
  <c r="D325" i="2"/>
  <c r="C325" i="2"/>
  <c r="B325" i="2"/>
  <c r="A325" i="2"/>
  <c r="D96" i="2"/>
  <c r="C96" i="2"/>
  <c r="B96" i="2"/>
  <c r="A96" i="2"/>
  <c r="D190" i="2"/>
  <c r="C190" i="2"/>
  <c r="B190" i="2"/>
  <c r="A190" i="2"/>
  <c r="D319" i="2"/>
  <c r="C319" i="2"/>
  <c r="B319" i="2"/>
  <c r="A319" i="2"/>
  <c r="D67" i="2"/>
  <c r="C67" i="2"/>
  <c r="B67" i="2"/>
  <c r="A67" i="2"/>
  <c r="D14" i="2"/>
  <c r="C14" i="2"/>
  <c r="B14" i="2"/>
  <c r="A14" i="2"/>
  <c r="D221" i="2"/>
  <c r="C221" i="2"/>
  <c r="B221" i="2"/>
  <c r="A221" i="2"/>
  <c r="D184" i="2"/>
  <c r="C184" i="2"/>
  <c r="B184" i="2"/>
  <c r="A184" i="2"/>
  <c r="D324" i="2"/>
  <c r="C324" i="2"/>
  <c r="B324" i="2"/>
  <c r="A324" i="2"/>
  <c r="D62" i="2"/>
  <c r="C62" i="2"/>
  <c r="B62" i="2"/>
  <c r="A62" i="2"/>
  <c r="D63" i="2"/>
  <c r="C63" i="2"/>
  <c r="B63" i="2"/>
  <c r="A63" i="2"/>
  <c r="D376" i="2"/>
  <c r="C376" i="2"/>
  <c r="B376" i="2"/>
  <c r="A376" i="2"/>
  <c r="D381" i="2"/>
  <c r="C381" i="2"/>
  <c r="B381" i="2"/>
  <c r="A381" i="2"/>
  <c r="D618" i="2"/>
  <c r="C618" i="2"/>
  <c r="B618" i="2"/>
  <c r="A618" i="2"/>
  <c r="D617" i="2"/>
  <c r="C617" i="2"/>
  <c r="B617" i="2"/>
  <c r="A617" i="2"/>
  <c r="D323" i="2"/>
  <c r="C323" i="2"/>
  <c r="B323" i="2"/>
  <c r="A323" i="2"/>
  <c r="D273" i="2"/>
  <c r="C273" i="2"/>
  <c r="B273" i="2"/>
  <c r="A273" i="2"/>
  <c r="D275" i="2"/>
  <c r="C275" i="2"/>
  <c r="B275" i="2"/>
  <c r="A275" i="2"/>
  <c r="D174" i="2"/>
  <c r="C174" i="2"/>
  <c r="B174" i="2"/>
  <c r="A174" i="2"/>
  <c r="D176" i="2"/>
  <c r="C176" i="2"/>
  <c r="B176" i="2"/>
  <c r="A176" i="2"/>
  <c r="D502" i="2"/>
  <c r="C502" i="2"/>
  <c r="B502" i="2"/>
  <c r="A502" i="2"/>
  <c r="D314" i="2"/>
  <c r="C314" i="2"/>
  <c r="B314" i="2"/>
  <c r="A314" i="2"/>
  <c r="D173" i="2"/>
  <c r="C173" i="2"/>
  <c r="B173" i="2"/>
  <c r="A173" i="2"/>
  <c r="D257" i="2"/>
  <c r="C257" i="2"/>
  <c r="B257" i="2"/>
  <c r="A257" i="2"/>
  <c r="D23" i="2"/>
  <c r="C23" i="2"/>
  <c r="B23" i="2"/>
  <c r="A23" i="2"/>
  <c r="D22" i="2"/>
  <c r="C22" i="2"/>
  <c r="B22" i="2"/>
  <c r="A22" i="2"/>
  <c r="D322" i="2"/>
  <c r="C322" i="2"/>
  <c r="B322" i="2"/>
  <c r="A322" i="2"/>
  <c r="D268" i="2"/>
  <c r="C268" i="2"/>
  <c r="B268" i="2"/>
  <c r="A268" i="2"/>
  <c r="D321" i="2"/>
  <c r="C321" i="2"/>
  <c r="B321" i="2"/>
  <c r="A321" i="2"/>
  <c r="D41" i="2"/>
  <c r="C41" i="2"/>
  <c r="B41" i="2"/>
  <c r="A41" i="2"/>
  <c r="D40" i="2"/>
  <c r="C40" i="2"/>
  <c r="B40" i="2"/>
  <c r="A40" i="2"/>
  <c r="D483" i="2"/>
  <c r="C483" i="2"/>
  <c r="B483" i="2"/>
  <c r="A483" i="2"/>
  <c r="D482" i="2"/>
  <c r="C482" i="2"/>
  <c r="B482" i="2"/>
  <c r="A482" i="2"/>
  <c r="D39" i="2"/>
  <c r="C39" i="2"/>
  <c r="B39" i="2"/>
  <c r="A39" i="2"/>
  <c r="D481" i="2"/>
  <c r="C481" i="2"/>
  <c r="B481" i="2"/>
  <c r="A481" i="2"/>
  <c r="D320" i="2"/>
  <c r="C320" i="2"/>
  <c r="B320" i="2"/>
  <c r="A320" i="2"/>
  <c r="D318" i="2"/>
  <c r="C318" i="2"/>
  <c r="B318" i="2"/>
  <c r="A318" i="2"/>
  <c r="D622" i="2"/>
  <c r="C622" i="2"/>
  <c r="B622" i="2"/>
  <c r="A622" i="2"/>
  <c r="D621" i="2"/>
  <c r="C621" i="2"/>
  <c r="B621" i="2"/>
  <c r="A621" i="2"/>
  <c r="D620" i="2"/>
  <c r="C620" i="2"/>
  <c r="B620" i="2"/>
  <c r="A620" i="2"/>
  <c r="D380" i="2"/>
  <c r="C380" i="2"/>
  <c r="B380" i="2"/>
  <c r="A380" i="2"/>
  <c r="D405" i="2"/>
  <c r="C405" i="2"/>
  <c r="B405" i="2"/>
  <c r="A405" i="2"/>
  <c r="D209" i="2"/>
  <c r="C209" i="2"/>
  <c r="B209" i="2"/>
  <c r="A209" i="2"/>
  <c r="D208" i="2"/>
  <c r="C208" i="2"/>
  <c r="B208" i="2"/>
  <c r="A208" i="2"/>
  <c r="D247" i="2"/>
  <c r="C247" i="2"/>
  <c r="B247" i="2"/>
  <c r="A247" i="2"/>
  <c r="D246" i="2"/>
  <c r="C246" i="2"/>
  <c r="B246" i="2"/>
  <c r="A246" i="2"/>
  <c r="D207" i="2"/>
  <c r="C207" i="2"/>
  <c r="B207" i="2"/>
  <c r="A207" i="2"/>
  <c r="D225" i="2"/>
  <c r="C225" i="2"/>
  <c r="B225" i="2"/>
  <c r="A225" i="2"/>
  <c r="D375" i="2"/>
  <c r="C375" i="2"/>
  <c r="B375" i="2"/>
  <c r="A375" i="2"/>
  <c r="D226" i="2"/>
  <c r="C226" i="2"/>
  <c r="B226" i="2"/>
  <c r="A226" i="2"/>
  <c r="D44" i="2"/>
  <c r="C44" i="2"/>
  <c r="B44" i="2"/>
  <c r="A44" i="2"/>
  <c r="D2" i="2"/>
  <c r="C2" i="2"/>
  <c r="B2" i="2"/>
  <c r="A2" i="2"/>
  <c r="D379" i="2"/>
  <c r="C379" i="2"/>
  <c r="B379" i="2"/>
  <c r="A379" i="2"/>
  <c r="D228" i="2"/>
  <c r="C228" i="2"/>
  <c r="B228" i="2"/>
  <c r="A228" i="2"/>
  <c r="D46" i="2"/>
  <c r="C46" i="2"/>
  <c r="B46" i="2"/>
  <c r="A46" i="2"/>
  <c r="D4" i="2"/>
  <c r="C4" i="2"/>
  <c r="B4" i="2"/>
  <c r="A4" i="2"/>
  <c r="D57" i="2"/>
  <c r="C57" i="2"/>
  <c r="B57" i="2"/>
  <c r="A57" i="2"/>
  <c r="D616" i="2"/>
  <c r="C616" i="2"/>
  <c r="B616" i="2"/>
  <c r="A616" i="2"/>
  <c r="D478" i="2"/>
  <c r="C478" i="2"/>
  <c r="B478" i="2"/>
  <c r="A478" i="2"/>
  <c r="D58" i="2"/>
  <c r="C58" i="2"/>
  <c r="B58" i="2"/>
  <c r="A58" i="2"/>
  <c r="D581" i="2"/>
  <c r="C581" i="2"/>
  <c r="B581" i="2"/>
  <c r="A581" i="2"/>
  <c r="D473" i="2"/>
  <c r="C473" i="2"/>
  <c r="B473" i="2"/>
  <c r="A473" i="2"/>
  <c r="D245" i="2"/>
  <c r="C245" i="2"/>
  <c r="B245" i="2"/>
  <c r="A245" i="2"/>
  <c r="D244" i="2"/>
  <c r="C244" i="2"/>
  <c r="B244" i="2"/>
  <c r="A244" i="2"/>
  <c r="D243" i="2"/>
  <c r="C243" i="2"/>
  <c r="B243" i="2"/>
  <c r="A243" i="2"/>
  <c r="D619" i="2"/>
  <c r="C619" i="2"/>
  <c r="B619" i="2"/>
  <c r="A619" i="2"/>
  <c r="D236" i="2"/>
  <c r="C236" i="2"/>
  <c r="B236" i="2"/>
  <c r="A236" i="2"/>
  <c r="D260" i="2"/>
  <c r="C260" i="2"/>
  <c r="B260" i="2"/>
  <c r="A260" i="2"/>
  <c r="D183" i="2"/>
  <c r="C183" i="2"/>
  <c r="B183" i="2"/>
  <c r="A183" i="2"/>
  <c r="D445" i="2"/>
  <c r="C445" i="2"/>
  <c r="B445" i="2"/>
  <c r="A445" i="2"/>
  <c r="D83" i="2"/>
  <c r="C83" i="2"/>
  <c r="B83" i="2"/>
  <c r="A83" i="2"/>
  <c r="D441" i="2"/>
  <c r="C441" i="2"/>
  <c r="B441" i="2"/>
  <c r="A441" i="2"/>
  <c r="D516" i="2"/>
  <c r="C516" i="2"/>
  <c r="B516" i="2"/>
  <c r="A516" i="2"/>
  <c r="D515" i="2"/>
  <c r="C515" i="2"/>
  <c r="B515" i="2"/>
  <c r="A515" i="2"/>
  <c r="D514" i="2"/>
  <c r="C514" i="2"/>
  <c r="B514" i="2"/>
  <c r="A514" i="2"/>
  <c r="D267" i="2"/>
  <c r="C267" i="2"/>
  <c r="B267" i="2"/>
  <c r="A267" i="2"/>
  <c r="A112" i="1"/>
  <c r="B112" i="1"/>
  <c r="C112" i="1"/>
  <c r="D112" i="1"/>
  <c r="A100" i="1"/>
  <c r="B100" i="1"/>
  <c r="C100" i="1"/>
  <c r="D100" i="1"/>
  <c r="A99" i="1"/>
  <c r="B99" i="1"/>
  <c r="C99" i="1"/>
  <c r="D99" i="1"/>
  <c r="A98" i="1"/>
  <c r="B98" i="1"/>
  <c r="C98" i="1"/>
  <c r="D98" i="1"/>
  <c r="A116" i="1"/>
  <c r="B116" i="1"/>
  <c r="C116" i="1"/>
  <c r="D116" i="1"/>
  <c r="A115" i="1"/>
  <c r="B115" i="1"/>
  <c r="C115" i="1"/>
  <c r="D115" i="1"/>
  <c r="A140" i="1"/>
  <c r="B140" i="1"/>
  <c r="C140" i="1"/>
  <c r="D140" i="1"/>
  <c r="A11" i="1"/>
  <c r="B11" i="1"/>
  <c r="C11" i="1"/>
  <c r="D11" i="1"/>
  <c r="A600" i="1"/>
  <c r="B600" i="1"/>
  <c r="C600" i="1"/>
  <c r="D600" i="1"/>
  <c r="A499" i="1"/>
  <c r="B499" i="1"/>
  <c r="C499" i="1"/>
  <c r="D499" i="1"/>
  <c r="A535" i="1"/>
  <c r="B535" i="1"/>
  <c r="C535" i="1"/>
  <c r="D535" i="1"/>
  <c r="A567" i="1"/>
  <c r="B567" i="1"/>
  <c r="C567" i="1"/>
  <c r="D567" i="1"/>
  <c r="A574" i="1"/>
  <c r="B574" i="1"/>
  <c r="C574" i="1"/>
  <c r="D574" i="1"/>
  <c r="A578" i="1"/>
  <c r="B578" i="1"/>
  <c r="C578" i="1"/>
  <c r="D578" i="1"/>
  <c r="A580" i="1"/>
  <c r="B580" i="1"/>
  <c r="C580" i="1"/>
  <c r="D580" i="1"/>
  <c r="A581" i="1"/>
  <c r="B581" i="1"/>
  <c r="C581" i="1"/>
  <c r="D581" i="1"/>
  <c r="A138" i="1"/>
  <c r="B138" i="1"/>
  <c r="C138" i="1"/>
  <c r="D138" i="1"/>
  <c r="A333" i="1"/>
  <c r="B333" i="1"/>
  <c r="C333" i="1"/>
  <c r="D333" i="1"/>
  <c r="A336" i="1"/>
  <c r="B336" i="1"/>
  <c r="C336" i="1"/>
  <c r="D336" i="1"/>
  <c r="A114" i="1"/>
  <c r="B114" i="1"/>
  <c r="C114" i="1"/>
  <c r="D114" i="1"/>
  <c r="A429" i="1"/>
  <c r="B429" i="1"/>
  <c r="C429" i="1"/>
  <c r="D429" i="1"/>
  <c r="A437" i="1"/>
  <c r="B437" i="1"/>
  <c r="C437" i="1"/>
  <c r="D437" i="1"/>
  <c r="A447" i="1"/>
  <c r="B447" i="1"/>
  <c r="C447" i="1"/>
  <c r="D447" i="1"/>
  <c r="A465" i="1"/>
  <c r="B465" i="1"/>
  <c r="C465" i="1"/>
  <c r="D465" i="1"/>
  <c r="A409" i="1"/>
  <c r="B409" i="1"/>
  <c r="C409" i="1"/>
  <c r="D409" i="1"/>
  <c r="A411" i="1"/>
  <c r="B411" i="1"/>
  <c r="C411" i="1"/>
  <c r="D411" i="1"/>
  <c r="A414" i="1"/>
  <c r="B414" i="1"/>
  <c r="C414" i="1"/>
  <c r="D414" i="1"/>
  <c r="A418" i="1"/>
  <c r="B418" i="1"/>
  <c r="C418" i="1"/>
  <c r="D418" i="1"/>
  <c r="A394" i="1"/>
  <c r="B394" i="1"/>
  <c r="C394" i="1"/>
  <c r="D394" i="1"/>
  <c r="A238" i="1"/>
  <c r="B238" i="1"/>
  <c r="C238" i="1"/>
  <c r="D238" i="1"/>
  <c r="A584" i="1"/>
  <c r="B584" i="1"/>
  <c r="C584" i="1"/>
  <c r="D584" i="1"/>
  <c r="A585" i="1"/>
  <c r="B585" i="1"/>
  <c r="C585" i="1"/>
  <c r="D585" i="1"/>
  <c r="A243" i="1"/>
  <c r="B243" i="1"/>
  <c r="C243" i="1"/>
  <c r="D243" i="1"/>
  <c r="A244" i="1"/>
  <c r="B244" i="1"/>
  <c r="C244" i="1"/>
  <c r="D244" i="1"/>
  <c r="A60" i="1"/>
  <c r="B60" i="1"/>
  <c r="C60" i="1"/>
  <c r="D60" i="1"/>
  <c r="A466" i="1"/>
  <c r="B466" i="1"/>
  <c r="C466" i="1"/>
  <c r="D466" i="1"/>
  <c r="A620" i="1"/>
  <c r="B620" i="1"/>
  <c r="C620" i="1"/>
  <c r="D620" i="1"/>
  <c r="A621" i="1"/>
  <c r="B621" i="1"/>
  <c r="C621" i="1"/>
  <c r="D621" i="1"/>
  <c r="A622" i="1"/>
  <c r="B622" i="1"/>
  <c r="C622" i="1"/>
  <c r="D622" i="1"/>
  <c r="A607" i="1"/>
  <c r="B607" i="1"/>
  <c r="C607" i="1"/>
  <c r="D607" i="1"/>
  <c r="A523" i="1"/>
  <c r="B523" i="1"/>
  <c r="C523" i="1"/>
  <c r="D523" i="1"/>
  <c r="A612" i="1"/>
  <c r="B612" i="1"/>
  <c r="C612" i="1"/>
  <c r="D612" i="1"/>
  <c r="A603" i="1"/>
  <c r="B603" i="1"/>
  <c r="C603" i="1"/>
  <c r="D603" i="1"/>
  <c r="A613" i="1"/>
  <c r="B613" i="1"/>
  <c r="C613" i="1"/>
  <c r="D613" i="1"/>
  <c r="A614" i="1"/>
  <c r="B614" i="1"/>
  <c r="C614" i="1"/>
  <c r="D614" i="1"/>
  <c r="A604" i="1"/>
  <c r="B604" i="1"/>
  <c r="C604" i="1"/>
  <c r="D604" i="1"/>
  <c r="A605" i="1"/>
  <c r="B605" i="1"/>
  <c r="C605" i="1"/>
  <c r="D605" i="1"/>
  <c r="A520" i="1"/>
  <c r="B520" i="1"/>
  <c r="C520" i="1"/>
  <c r="D520" i="1"/>
  <c r="A199" i="1"/>
  <c r="B199" i="1"/>
  <c r="C199" i="1"/>
  <c r="D199" i="1"/>
  <c r="A521" i="1"/>
  <c r="B521" i="1"/>
  <c r="C521" i="1"/>
  <c r="D521" i="1"/>
  <c r="A155" i="1"/>
  <c r="B155" i="1"/>
  <c r="C155" i="1"/>
  <c r="D155" i="1"/>
  <c r="A156" i="1"/>
  <c r="B156" i="1"/>
  <c r="C156" i="1"/>
  <c r="D156" i="1"/>
  <c r="A198" i="1"/>
  <c r="B198" i="1"/>
  <c r="C198" i="1"/>
  <c r="D198" i="1"/>
  <c r="A192" i="1"/>
  <c r="B192" i="1"/>
  <c r="C192" i="1"/>
  <c r="D192" i="1"/>
  <c r="A202" i="1"/>
  <c r="B202" i="1"/>
  <c r="C202" i="1"/>
  <c r="D202" i="1"/>
  <c r="A220" i="1"/>
  <c r="B220" i="1"/>
  <c r="C220" i="1"/>
  <c r="D220" i="1"/>
  <c r="A360" i="1"/>
  <c r="B360" i="1"/>
  <c r="C360" i="1"/>
  <c r="D360" i="1"/>
  <c r="A191" i="1"/>
  <c r="B191" i="1"/>
  <c r="C191" i="1"/>
  <c r="D191" i="1"/>
  <c r="A455" i="1"/>
  <c r="B455" i="1"/>
  <c r="C455" i="1"/>
  <c r="D455" i="1"/>
  <c r="A416" i="1"/>
  <c r="B416" i="1"/>
  <c r="C416" i="1"/>
  <c r="D416" i="1"/>
  <c r="A522" i="1"/>
  <c r="B522" i="1"/>
  <c r="C522" i="1"/>
  <c r="D522" i="1"/>
  <c r="A428" i="1"/>
  <c r="B428" i="1"/>
  <c r="C428" i="1"/>
  <c r="D428" i="1"/>
  <c r="A490" i="1"/>
  <c r="B490" i="1"/>
  <c r="C490" i="1"/>
  <c r="D490" i="1"/>
  <c r="A467" i="1"/>
  <c r="B467" i="1"/>
  <c r="C467" i="1"/>
  <c r="D467" i="1"/>
  <c r="A419" i="1"/>
  <c r="B419" i="1"/>
  <c r="C419" i="1"/>
  <c r="D419" i="1"/>
  <c r="A445" i="1"/>
  <c r="B445" i="1"/>
  <c r="C445" i="1"/>
  <c r="D445" i="1"/>
  <c r="A413" i="1"/>
  <c r="B413" i="1"/>
  <c r="C413" i="1"/>
  <c r="D413" i="1"/>
  <c r="A527" i="1"/>
  <c r="B527" i="1"/>
  <c r="C527" i="1"/>
  <c r="D527" i="1"/>
  <c r="A12" i="1"/>
  <c r="B12" i="1"/>
  <c r="C12" i="1"/>
  <c r="D12" i="1"/>
  <c r="A366" i="1"/>
  <c r="B366" i="1"/>
  <c r="C366" i="1"/>
  <c r="D366" i="1"/>
  <c r="A72" i="1"/>
  <c r="B72" i="1"/>
  <c r="C72" i="1"/>
  <c r="D72" i="1"/>
  <c r="A76" i="1"/>
  <c r="B76" i="1"/>
  <c r="C76" i="1"/>
  <c r="D76" i="1"/>
  <c r="A88" i="1"/>
  <c r="B88" i="1"/>
  <c r="C88" i="1"/>
  <c r="D88" i="1"/>
  <c r="A85" i="1"/>
  <c r="B85" i="1"/>
  <c r="C85" i="1"/>
  <c r="D85" i="1"/>
  <c r="A357" i="1"/>
  <c r="B357" i="1"/>
  <c r="C357" i="1"/>
  <c r="D357" i="1"/>
  <c r="A524" i="1"/>
  <c r="B524" i="1"/>
  <c r="C524" i="1"/>
  <c r="D524" i="1"/>
  <c r="A425" i="1"/>
  <c r="B425" i="1"/>
  <c r="C425" i="1"/>
  <c r="D425" i="1"/>
  <c r="A67" i="1"/>
  <c r="B67" i="1"/>
  <c r="C67" i="1"/>
  <c r="D67" i="1"/>
  <c r="A481" i="1"/>
  <c r="B481" i="1"/>
  <c r="C481" i="1"/>
  <c r="D481" i="1"/>
  <c r="A97" i="1"/>
  <c r="B97" i="1"/>
  <c r="C97" i="1"/>
  <c r="D97" i="1"/>
  <c r="A617" i="1"/>
  <c r="B617" i="1"/>
  <c r="C617" i="1"/>
  <c r="D617" i="1"/>
  <c r="A107" i="1"/>
  <c r="B107" i="1"/>
  <c r="C107" i="1"/>
  <c r="D107" i="1"/>
  <c r="A426" i="1"/>
  <c r="B426" i="1"/>
  <c r="C426" i="1"/>
  <c r="D426" i="1"/>
  <c r="A482" i="1"/>
  <c r="B482" i="1"/>
  <c r="C482" i="1"/>
  <c r="D482" i="1"/>
  <c r="A226" i="1"/>
  <c r="B226" i="1"/>
  <c r="C226" i="1"/>
  <c r="D226" i="1"/>
  <c r="A227" i="1"/>
  <c r="B227" i="1"/>
  <c r="C227" i="1"/>
  <c r="D227" i="1"/>
  <c r="A618" i="1"/>
  <c r="B618" i="1"/>
  <c r="C618" i="1"/>
  <c r="D618" i="1"/>
  <c r="A619" i="1"/>
  <c r="B619" i="1"/>
  <c r="C619" i="1"/>
  <c r="D619" i="1"/>
  <c r="A479" i="1"/>
  <c r="B479" i="1"/>
  <c r="C479" i="1"/>
  <c r="D479" i="1"/>
  <c r="A423" i="1"/>
  <c r="B423" i="1"/>
  <c r="C423" i="1"/>
  <c r="D423" i="1"/>
  <c r="A494" i="1"/>
  <c r="B494" i="1"/>
  <c r="C494" i="1"/>
  <c r="D494" i="1"/>
  <c r="A495" i="1"/>
  <c r="B495" i="1"/>
  <c r="C495" i="1"/>
  <c r="D495" i="1"/>
  <c r="A553" i="1"/>
  <c r="B553" i="1"/>
  <c r="C553" i="1"/>
  <c r="D553" i="1"/>
  <c r="A118" i="1"/>
  <c r="B118" i="1"/>
  <c r="C118" i="1"/>
  <c r="D118" i="1"/>
  <c r="A307" i="1"/>
  <c r="B307" i="1"/>
  <c r="C307" i="1"/>
  <c r="D307" i="1"/>
  <c r="A231" i="1"/>
  <c r="B231" i="1"/>
  <c r="C231" i="1"/>
  <c r="D231" i="1"/>
  <c r="A258" i="1"/>
  <c r="B258" i="1"/>
  <c r="C258" i="1"/>
  <c r="D258" i="1"/>
  <c r="A291" i="1"/>
  <c r="B291" i="1"/>
  <c r="C291" i="1"/>
  <c r="D291" i="1"/>
  <c r="A241" i="1"/>
  <c r="B241" i="1"/>
  <c r="C241" i="1"/>
  <c r="D241" i="1"/>
  <c r="A288" i="1"/>
  <c r="B288" i="1"/>
  <c r="C288" i="1"/>
  <c r="D288" i="1"/>
  <c r="A293" i="1"/>
  <c r="B293" i="1"/>
  <c r="C293" i="1"/>
  <c r="D293" i="1"/>
  <c r="A287" i="1"/>
  <c r="B287" i="1"/>
  <c r="C287" i="1"/>
  <c r="D287" i="1"/>
  <c r="A298" i="1"/>
  <c r="B298" i="1"/>
  <c r="C298" i="1"/>
  <c r="D298" i="1"/>
  <c r="A299" i="1"/>
  <c r="B299" i="1"/>
  <c r="C299" i="1"/>
  <c r="D299" i="1"/>
  <c r="A296" i="1"/>
  <c r="B296" i="1"/>
  <c r="C296" i="1"/>
  <c r="D296" i="1"/>
  <c r="A295" i="1"/>
  <c r="B295" i="1"/>
  <c r="C295" i="1"/>
  <c r="D295" i="1"/>
  <c r="A246" i="1"/>
  <c r="B246" i="1"/>
  <c r="C246" i="1"/>
  <c r="D246" i="1"/>
  <c r="A255" i="1"/>
  <c r="B255" i="1"/>
  <c r="C255" i="1"/>
  <c r="D255" i="1"/>
  <c r="A259" i="1"/>
  <c r="B259" i="1"/>
  <c r="C259" i="1"/>
  <c r="D259" i="1"/>
  <c r="A566" i="1"/>
  <c r="B566" i="1"/>
  <c r="C566" i="1"/>
  <c r="D566" i="1"/>
  <c r="A570" i="1"/>
  <c r="B570" i="1"/>
  <c r="C570" i="1"/>
  <c r="D570" i="1"/>
  <c r="A569" i="1"/>
  <c r="B569" i="1"/>
  <c r="C569" i="1"/>
  <c r="D569" i="1"/>
  <c r="A245" i="1"/>
  <c r="B245" i="1"/>
  <c r="C245" i="1"/>
  <c r="D245" i="1"/>
  <c r="A575" i="1"/>
  <c r="B575" i="1"/>
  <c r="C575" i="1"/>
  <c r="D575" i="1"/>
  <c r="A572" i="1"/>
  <c r="B572" i="1"/>
  <c r="C572" i="1"/>
  <c r="D572" i="1"/>
  <c r="A571" i="1"/>
  <c r="B571" i="1"/>
  <c r="C571" i="1"/>
  <c r="D571" i="1"/>
  <c r="A294" i="1"/>
  <c r="B294" i="1"/>
  <c r="C294" i="1"/>
  <c r="D294" i="1"/>
  <c r="A292" i="1"/>
  <c r="B292" i="1"/>
  <c r="C292" i="1"/>
  <c r="D292" i="1"/>
  <c r="A289" i="1"/>
  <c r="B289" i="1"/>
  <c r="C289" i="1"/>
  <c r="D289" i="1"/>
  <c r="A290" i="1"/>
  <c r="B290" i="1"/>
  <c r="C290" i="1"/>
  <c r="D290" i="1"/>
  <c r="A283" i="1"/>
  <c r="B283" i="1"/>
  <c r="C283" i="1"/>
  <c r="D283" i="1"/>
  <c r="A281" i="1"/>
  <c r="B281" i="1"/>
  <c r="C281" i="1"/>
  <c r="D281" i="1"/>
  <c r="A282" i="1"/>
  <c r="B282" i="1"/>
  <c r="C282" i="1"/>
  <c r="D282" i="1"/>
  <c r="A280" i="1"/>
  <c r="B280" i="1"/>
  <c r="C280" i="1"/>
  <c r="D280" i="1"/>
  <c r="A302" i="1"/>
  <c r="B302" i="1"/>
  <c r="C302" i="1"/>
  <c r="D302" i="1"/>
  <c r="A303" i="1"/>
  <c r="B303" i="1"/>
  <c r="C303" i="1"/>
  <c r="D303" i="1"/>
  <c r="A301" i="1"/>
  <c r="B301" i="1"/>
  <c r="C301" i="1"/>
  <c r="D301" i="1"/>
  <c r="A285" i="1"/>
  <c r="B285" i="1"/>
  <c r="C285" i="1"/>
  <c r="D285" i="1"/>
  <c r="A286" i="1"/>
  <c r="B286" i="1"/>
  <c r="C286" i="1"/>
  <c r="D286" i="1"/>
  <c r="A284" i="1"/>
  <c r="B284" i="1"/>
  <c r="C284" i="1"/>
  <c r="D284" i="1"/>
  <c r="A347" i="1"/>
  <c r="B347" i="1"/>
  <c r="C347" i="1"/>
  <c r="D347" i="1"/>
  <c r="A376" i="1"/>
  <c r="B376" i="1"/>
  <c r="C376" i="1"/>
  <c r="D376" i="1"/>
  <c r="A342" i="1"/>
  <c r="B342" i="1"/>
  <c r="C342" i="1"/>
  <c r="D342" i="1"/>
  <c r="A265" i="1"/>
  <c r="B265" i="1"/>
  <c r="C265" i="1"/>
  <c r="D265" i="1"/>
  <c r="A582" i="1"/>
  <c r="B582" i="1"/>
  <c r="C582" i="1"/>
  <c r="D582" i="1"/>
  <c r="A586" i="1"/>
  <c r="B586" i="1"/>
  <c r="C586" i="1"/>
  <c r="D586" i="1"/>
  <c r="A588" i="1"/>
  <c r="B588" i="1"/>
  <c r="C588" i="1"/>
  <c r="D588" i="1"/>
  <c r="A587" i="1"/>
  <c r="B587" i="1"/>
  <c r="C587" i="1"/>
  <c r="D587" i="1"/>
  <c r="A589" i="1"/>
  <c r="B589" i="1"/>
  <c r="C589" i="1"/>
  <c r="D589" i="1"/>
  <c r="A266" i="1"/>
  <c r="B266" i="1"/>
  <c r="C266" i="1"/>
  <c r="D266" i="1"/>
  <c r="A267" i="1"/>
  <c r="B267" i="1"/>
  <c r="C267" i="1"/>
  <c r="D267" i="1"/>
  <c r="A583" i="1"/>
  <c r="B583" i="1"/>
  <c r="C583" i="1"/>
  <c r="D583" i="1"/>
  <c r="A268" i="1"/>
  <c r="B268" i="1"/>
  <c r="C268" i="1"/>
  <c r="D268" i="1"/>
  <c r="A236" i="1"/>
  <c r="B236" i="1"/>
  <c r="C236" i="1"/>
  <c r="D236" i="1"/>
  <c r="A237" i="1"/>
  <c r="B237" i="1"/>
  <c r="C237" i="1"/>
  <c r="D237" i="1"/>
  <c r="A240" i="1"/>
  <c r="B240" i="1"/>
  <c r="C240" i="1"/>
  <c r="D240" i="1"/>
  <c r="A239" i="1"/>
  <c r="B239" i="1"/>
  <c r="C239" i="1"/>
  <c r="D239" i="1"/>
  <c r="A576" i="1"/>
  <c r="B576" i="1"/>
  <c r="C576" i="1"/>
  <c r="D576" i="1"/>
  <c r="A573" i="1"/>
  <c r="B573" i="1"/>
  <c r="C573" i="1"/>
  <c r="D573" i="1"/>
  <c r="A277" i="1"/>
  <c r="B277" i="1"/>
  <c r="C277" i="1"/>
  <c r="D277" i="1"/>
  <c r="A276" i="1"/>
  <c r="B276" i="1"/>
  <c r="C276" i="1"/>
  <c r="D276" i="1"/>
  <c r="A274" i="1"/>
  <c r="B274" i="1"/>
  <c r="C274" i="1"/>
  <c r="D274" i="1"/>
  <c r="A275" i="1"/>
  <c r="B275" i="1"/>
  <c r="C275" i="1"/>
  <c r="D275" i="1"/>
  <c r="A5" i="1"/>
  <c r="B5" i="1"/>
  <c r="C5" i="1"/>
  <c r="D5" i="1"/>
  <c r="A134" i="1"/>
  <c r="B134" i="1"/>
  <c r="C134" i="1"/>
  <c r="D134" i="1"/>
  <c r="A137" i="1"/>
  <c r="B137" i="1"/>
  <c r="C137" i="1"/>
  <c r="D137" i="1"/>
  <c r="A136" i="1"/>
  <c r="B136" i="1"/>
  <c r="C136" i="1"/>
  <c r="D136" i="1"/>
  <c r="A133" i="1"/>
  <c r="B133" i="1"/>
  <c r="C133" i="1"/>
  <c r="D133" i="1"/>
  <c r="A135" i="1"/>
  <c r="B135" i="1"/>
  <c r="C135" i="1"/>
  <c r="D135" i="1"/>
  <c r="A406" i="1"/>
  <c r="B406" i="1"/>
  <c r="C406" i="1"/>
  <c r="D406" i="1"/>
  <c r="A405" i="1"/>
  <c r="B405" i="1"/>
  <c r="C405" i="1"/>
  <c r="D405" i="1"/>
  <c r="A139" i="1"/>
  <c r="B139" i="1"/>
  <c r="C139" i="1"/>
  <c r="D139" i="1"/>
  <c r="A174" i="1"/>
  <c r="B174" i="1"/>
  <c r="C174" i="1"/>
  <c r="D174" i="1"/>
  <c r="A157" i="1"/>
  <c r="B157" i="1"/>
  <c r="C157" i="1"/>
  <c r="D157" i="1"/>
  <c r="A169" i="1"/>
  <c r="B169" i="1"/>
  <c r="C169" i="1"/>
  <c r="D169" i="1"/>
  <c r="A562" i="1"/>
  <c r="B562" i="1"/>
  <c r="C562" i="1"/>
  <c r="D562" i="1"/>
  <c r="A176" i="1"/>
  <c r="B176" i="1"/>
  <c r="C176" i="1"/>
  <c r="D176" i="1"/>
  <c r="A558" i="1"/>
  <c r="B558" i="1"/>
  <c r="C558" i="1"/>
  <c r="D558" i="1"/>
  <c r="A564" i="1"/>
  <c r="B564" i="1"/>
  <c r="C564" i="1"/>
  <c r="D564" i="1"/>
  <c r="A269" i="1"/>
  <c r="B269" i="1"/>
  <c r="C269" i="1"/>
  <c r="D269" i="1"/>
  <c r="A270" i="1"/>
  <c r="B270" i="1"/>
  <c r="C270" i="1"/>
  <c r="D270" i="1"/>
  <c r="A177" i="1"/>
  <c r="B177" i="1"/>
  <c r="C177" i="1"/>
  <c r="D177" i="1"/>
  <c r="A13" i="1"/>
  <c r="B13" i="1"/>
  <c r="C13" i="1"/>
  <c r="D13" i="1"/>
  <c r="A37" i="1"/>
  <c r="B37" i="1"/>
  <c r="C37" i="1"/>
  <c r="D37" i="1"/>
  <c r="A31" i="1"/>
  <c r="B31" i="1"/>
  <c r="C31" i="1"/>
  <c r="D31" i="1"/>
  <c r="A367" i="1"/>
  <c r="B367" i="1"/>
  <c r="C367" i="1"/>
  <c r="D367" i="1"/>
  <c r="A382" i="1"/>
  <c r="B382" i="1"/>
  <c r="C382" i="1"/>
  <c r="D382" i="1"/>
  <c r="A178" i="1"/>
  <c r="B178" i="1"/>
  <c r="C178" i="1"/>
  <c r="D178" i="1"/>
  <c r="A179" i="1"/>
  <c r="B179" i="1"/>
  <c r="C179" i="1"/>
  <c r="D179" i="1"/>
  <c r="A6" i="1"/>
  <c r="B6" i="1"/>
  <c r="C6" i="1"/>
  <c r="D6" i="1"/>
  <c r="A395" i="1"/>
  <c r="B395" i="1"/>
  <c r="C395" i="1"/>
  <c r="D395" i="1"/>
  <c r="A396" i="1"/>
  <c r="B396" i="1"/>
  <c r="C396" i="1"/>
  <c r="D396" i="1"/>
  <c r="A397" i="1"/>
  <c r="B397" i="1"/>
  <c r="C397" i="1"/>
  <c r="D397" i="1"/>
  <c r="A53" i="1"/>
  <c r="B53" i="1"/>
  <c r="C53" i="1"/>
  <c r="D53" i="1"/>
  <c r="A17" i="1"/>
  <c r="B17" i="1"/>
  <c r="C17" i="1"/>
  <c r="D17" i="1"/>
  <c r="A393" i="1"/>
  <c r="B393" i="1"/>
  <c r="C393" i="1"/>
  <c r="D393" i="1"/>
  <c r="A38" i="1"/>
  <c r="B38" i="1"/>
  <c r="C38" i="1"/>
  <c r="D38" i="1"/>
  <c r="A63" i="1"/>
  <c r="B63" i="1"/>
  <c r="C63" i="1"/>
  <c r="D63" i="1"/>
  <c r="A373" i="1"/>
  <c r="B373" i="1"/>
  <c r="C373" i="1"/>
  <c r="D373" i="1"/>
  <c r="A44" i="1"/>
  <c r="B44" i="1"/>
  <c r="C44" i="1"/>
  <c r="D44" i="1"/>
  <c r="A356" i="1"/>
  <c r="B356" i="1"/>
  <c r="C356" i="1"/>
  <c r="D356" i="1"/>
  <c r="A565" i="1"/>
  <c r="B565" i="1"/>
  <c r="C565" i="1"/>
  <c r="D565" i="1"/>
  <c r="A550" i="1"/>
  <c r="B550" i="1"/>
  <c r="C550" i="1"/>
  <c r="D550" i="1"/>
  <c r="A561" i="1"/>
  <c r="B561" i="1"/>
  <c r="C561" i="1"/>
  <c r="D561" i="1"/>
  <c r="A468" i="1"/>
  <c r="B468" i="1"/>
  <c r="C468" i="1"/>
  <c r="D468" i="1"/>
  <c r="A188" i="1"/>
  <c r="B188" i="1"/>
  <c r="C188" i="1"/>
  <c r="D188" i="1"/>
  <c r="A197" i="1"/>
  <c r="B197" i="1"/>
  <c r="C197" i="1"/>
  <c r="D197" i="1"/>
  <c r="A171" i="1"/>
  <c r="B171" i="1"/>
  <c r="C171" i="1"/>
  <c r="D171" i="1"/>
  <c r="A319" i="1"/>
  <c r="B319" i="1"/>
  <c r="C319" i="1"/>
  <c r="D319" i="1"/>
  <c r="A559" i="1"/>
  <c r="B559" i="1"/>
  <c r="C559" i="1"/>
  <c r="D559" i="1"/>
  <c r="A332" i="1"/>
  <c r="B332" i="1"/>
  <c r="C332" i="1"/>
  <c r="D332" i="1"/>
  <c r="A331" i="1"/>
  <c r="B331" i="1"/>
  <c r="C331" i="1"/>
  <c r="D331" i="1"/>
  <c r="A330" i="1"/>
  <c r="B330" i="1"/>
  <c r="C330" i="1"/>
  <c r="D330" i="1"/>
  <c r="A325" i="1"/>
  <c r="B325" i="1"/>
  <c r="C325" i="1"/>
  <c r="D325" i="1"/>
  <c r="A329" i="1"/>
  <c r="B329" i="1"/>
  <c r="C329" i="1"/>
  <c r="D329" i="1"/>
  <c r="A328" i="1"/>
  <c r="B328" i="1"/>
  <c r="C328" i="1"/>
  <c r="D328" i="1"/>
  <c r="A327" i="1"/>
  <c r="B327" i="1"/>
  <c r="C327" i="1"/>
  <c r="D327" i="1"/>
  <c r="A326" i="1"/>
  <c r="B326" i="1"/>
  <c r="C326" i="1"/>
  <c r="D326" i="1"/>
  <c r="A324" i="1"/>
  <c r="B324" i="1"/>
  <c r="C324" i="1"/>
  <c r="D324" i="1"/>
  <c r="A323" i="1"/>
  <c r="B323" i="1"/>
  <c r="C323" i="1"/>
  <c r="D323" i="1"/>
  <c r="A322" i="1"/>
  <c r="B322" i="1"/>
  <c r="C322" i="1"/>
  <c r="D322" i="1"/>
  <c r="A321" i="1"/>
  <c r="B321" i="1"/>
  <c r="C321" i="1"/>
  <c r="D321" i="1"/>
  <c r="A320" i="1"/>
  <c r="B320" i="1"/>
  <c r="C320" i="1"/>
  <c r="D320" i="1"/>
  <c r="A563" i="1"/>
  <c r="B563" i="1"/>
  <c r="C563" i="1"/>
  <c r="D563" i="1"/>
  <c r="A40" i="1"/>
  <c r="B40" i="1"/>
  <c r="C40" i="1"/>
  <c r="D40" i="1"/>
  <c r="A32" i="1"/>
  <c r="B32" i="1"/>
  <c r="C32" i="1"/>
  <c r="D32" i="1"/>
  <c r="A29" i="1"/>
  <c r="B29" i="1"/>
  <c r="C29" i="1"/>
  <c r="D29" i="1"/>
  <c r="A577" i="1"/>
  <c r="B577" i="1"/>
  <c r="C577" i="1"/>
  <c r="D577" i="1"/>
  <c r="A560" i="1"/>
  <c r="B560" i="1"/>
  <c r="C560" i="1"/>
  <c r="D560" i="1"/>
  <c r="A308" i="1"/>
  <c r="B308" i="1"/>
  <c r="C308" i="1"/>
  <c r="D308" i="1"/>
  <c r="A341" i="1"/>
  <c r="B341" i="1"/>
  <c r="C341" i="1"/>
  <c r="D341" i="1"/>
  <c r="A346" i="1"/>
  <c r="B346" i="1"/>
  <c r="C346" i="1"/>
  <c r="D346" i="1"/>
  <c r="A533" i="1"/>
  <c r="B533" i="1"/>
  <c r="C533" i="1"/>
  <c r="D533" i="1"/>
  <c r="A143" i="1"/>
  <c r="B143" i="1"/>
  <c r="C143" i="1"/>
  <c r="D143" i="1"/>
  <c r="A128" i="1"/>
  <c r="B128" i="1"/>
  <c r="C128" i="1"/>
  <c r="D128" i="1"/>
  <c r="A132" i="1"/>
  <c r="B132" i="1"/>
  <c r="C132" i="1"/>
  <c r="D132" i="1"/>
  <c r="A131" i="1"/>
  <c r="B131" i="1"/>
  <c r="C131" i="1"/>
  <c r="D131" i="1"/>
  <c r="A555" i="1"/>
  <c r="B555" i="1"/>
  <c r="C555" i="1"/>
  <c r="D555" i="1"/>
  <c r="A557" i="1"/>
  <c r="B557" i="1"/>
  <c r="C557" i="1"/>
  <c r="D557" i="1"/>
  <c r="A46" i="1"/>
  <c r="B46" i="1"/>
  <c r="C46" i="1"/>
  <c r="D46" i="1"/>
  <c r="A615" i="1"/>
  <c r="B615" i="1"/>
  <c r="C615" i="1"/>
  <c r="D615" i="1"/>
  <c r="A616" i="1"/>
  <c r="B616" i="1"/>
  <c r="C616" i="1"/>
  <c r="D616" i="1"/>
  <c r="A379" i="1"/>
  <c r="B379" i="1"/>
  <c r="C379" i="1"/>
  <c r="D379" i="1"/>
  <c r="A380" i="1"/>
  <c r="B380" i="1"/>
  <c r="C380" i="1"/>
  <c r="D380" i="1"/>
  <c r="A361" i="1"/>
  <c r="B361" i="1"/>
  <c r="C361" i="1"/>
  <c r="D361" i="1"/>
  <c r="A278" i="1"/>
  <c r="B278" i="1"/>
  <c r="C278" i="1"/>
  <c r="D278" i="1"/>
  <c r="A54" i="1"/>
  <c r="B54" i="1"/>
  <c r="C54" i="1"/>
  <c r="D54" i="1"/>
  <c r="A64" i="1"/>
  <c r="B64" i="1"/>
  <c r="C64" i="1"/>
  <c r="D64" i="1"/>
  <c r="A594" i="1"/>
  <c r="B594" i="1"/>
  <c r="C594" i="1"/>
  <c r="D594" i="1"/>
  <c r="A30" i="1"/>
  <c r="B30" i="1"/>
  <c r="C30" i="1"/>
  <c r="D30" i="1"/>
  <c r="A121" i="1"/>
  <c r="B121" i="1"/>
  <c r="C121" i="1"/>
  <c r="D121" i="1"/>
  <c r="A595" i="1"/>
  <c r="B595" i="1"/>
  <c r="C595" i="1"/>
  <c r="D595" i="1"/>
  <c r="A362" i="1"/>
  <c r="B362" i="1"/>
  <c r="C362" i="1"/>
  <c r="D362" i="1"/>
  <c r="A446" i="1"/>
  <c r="B446" i="1"/>
  <c r="C446" i="1"/>
  <c r="D446" i="1"/>
  <c r="A372" i="1"/>
  <c r="B372" i="1"/>
  <c r="C372" i="1"/>
  <c r="D372" i="1"/>
  <c r="A355" i="1"/>
  <c r="B355" i="1"/>
  <c r="C355" i="1"/>
  <c r="D355" i="1"/>
  <c r="A542" i="1"/>
  <c r="B542" i="1"/>
  <c r="C542" i="1"/>
  <c r="D542" i="1"/>
  <c r="A591" i="1"/>
  <c r="B591" i="1"/>
  <c r="C591" i="1"/>
  <c r="D591" i="1"/>
  <c r="A592" i="1"/>
  <c r="B592" i="1"/>
  <c r="C592" i="1"/>
  <c r="D592" i="1"/>
  <c r="A378" i="1"/>
  <c r="B378" i="1"/>
  <c r="C378" i="1"/>
  <c r="D378" i="1"/>
  <c r="A300" i="1"/>
  <c r="B300" i="1"/>
  <c r="C300" i="1"/>
  <c r="D300" i="1"/>
  <c r="A541" i="1"/>
  <c r="B541" i="1"/>
  <c r="C541" i="1"/>
  <c r="D541" i="1"/>
  <c r="A537" i="1"/>
  <c r="B537" i="1"/>
  <c r="C537" i="1"/>
  <c r="D537" i="1"/>
  <c r="A539" i="1"/>
  <c r="B539" i="1"/>
  <c r="C539" i="1"/>
  <c r="D539" i="1"/>
  <c r="A536" i="1"/>
  <c r="B536" i="1"/>
  <c r="C536" i="1"/>
  <c r="D536" i="1"/>
  <c r="A596" i="1"/>
  <c r="B596" i="1"/>
  <c r="C596" i="1"/>
  <c r="D596" i="1"/>
  <c r="A597" i="1"/>
  <c r="B597" i="1"/>
  <c r="C597" i="1"/>
  <c r="D597" i="1"/>
  <c r="A598" i="1"/>
  <c r="B598" i="1"/>
  <c r="C598" i="1"/>
  <c r="D598" i="1"/>
  <c r="A119" i="1"/>
  <c r="B119" i="1"/>
  <c r="C119" i="1"/>
  <c r="D119" i="1"/>
  <c r="A154" i="1"/>
  <c r="B154" i="1"/>
  <c r="C154" i="1"/>
  <c r="D154" i="1"/>
  <c r="A141" i="1"/>
  <c r="B141" i="1"/>
  <c r="C141" i="1"/>
  <c r="D141" i="1"/>
  <c r="A144" i="1"/>
  <c r="B144" i="1"/>
  <c r="C144" i="1"/>
  <c r="D144" i="1"/>
  <c r="A593" i="1"/>
  <c r="B593" i="1"/>
  <c r="C593" i="1"/>
  <c r="D593" i="1"/>
  <c r="A153" i="1"/>
  <c r="B153" i="1"/>
  <c r="C153" i="1"/>
  <c r="D153" i="1"/>
  <c r="A142" i="1"/>
  <c r="B142" i="1"/>
  <c r="C142" i="1"/>
  <c r="D142" i="1"/>
  <c r="A145" i="1"/>
  <c r="B145" i="1"/>
  <c r="C145" i="1"/>
  <c r="D145" i="1"/>
  <c r="A590" i="1"/>
  <c r="B590" i="1"/>
  <c r="C590" i="1"/>
  <c r="D590" i="1"/>
  <c r="A149" i="1"/>
  <c r="B149" i="1"/>
  <c r="C149" i="1"/>
  <c r="D149" i="1"/>
  <c r="A21" i="1"/>
  <c r="B21" i="1"/>
  <c r="C21" i="1"/>
  <c r="D21" i="1"/>
  <c r="A39" i="1"/>
  <c r="B39" i="1"/>
  <c r="C39" i="1"/>
  <c r="D39" i="1"/>
  <c r="A370" i="1"/>
  <c r="B370" i="1"/>
  <c r="C370" i="1"/>
  <c r="D370" i="1"/>
  <c r="A271" i="1"/>
  <c r="B271" i="1"/>
  <c r="C271" i="1"/>
  <c r="D271" i="1"/>
  <c r="A297" i="1"/>
  <c r="B297" i="1"/>
  <c r="C297" i="1"/>
  <c r="D297" i="1"/>
  <c r="A363" i="1"/>
  <c r="B363" i="1"/>
  <c r="C363" i="1"/>
  <c r="D363" i="1"/>
  <c r="A375" i="1"/>
  <c r="B375" i="1"/>
  <c r="C375" i="1"/>
  <c r="D375" i="1"/>
  <c r="A22" i="1"/>
  <c r="B22" i="1"/>
  <c r="C22" i="1"/>
  <c r="D22" i="1"/>
  <c r="A599" i="1"/>
  <c r="B599" i="1"/>
  <c r="C599" i="1"/>
  <c r="D599" i="1"/>
  <c r="A279" i="1"/>
  <c r="B279" i="1"/>
  <c r="C279" i="1"/>
  <c r="D279" i="1"/>
  <c r="A381" i="1"/>
  <c r="B381" i="1"/>
  <c r="C381" i="1"/>
  <c r="D381" i="1"/>
  <c r="A335" i="1"/>
  <c r="B335" i="1"/>
  <c r="C335" i="1"/>
  <c r="D335" i="1"/>
  <c r="A318" i="1"/>
  <c r="B318" i="1"/>
  <c r="C318" i="1"/>
  <c r="D318" i="1"/>
  <c r="A608" i="1"/>
  <c r="B608" i="1"/>
  <c r="C608" i="1"/>
  <c r="D608" i="1"/>
  <c r="A609" i="1"/>
  <c r="B609" i="1"/>
  <c r="C609" i="1"/>
  <c r="D609" i="1"/>
  <c r="A19" i="1"/>
  <c r="B19" i="1"/>
  <c r="C19" i="1"/>
  <c r="D19" i="1"/>
  <c r="A18" i="1"/>
  <c r="B18" i="1"/>
  <c r="C18" i="1"/>
  <c r="D18" i="1"/>
  <c r="A161" i="1"/>
  <c r="B161" i="1"/>
  <c r="C161" i="1"/>
  <c r="D161" i="1"/>
  <c r="A224" i="1"/>
  <c r="B224" i="1"/>
  <c r="C224" i="1"/>
  <c r="D224" i="1"/>
  <c r="A117" i="1"/>
  <c r="B117" i="1"/>
  <c r="C117" i="1"/>
  <c r="D117" i="1"/>
  <c r="A548" i="1"/>
  <c r="B548" i="1"/>
  <c r="C548" i="1"/>
  <c r="D548" i="1"/>
  <c r="A518" i="1"/>
  <c r="B518" i="1"/>
  <c r="C518" i="1"/>
  <c r="D518" i="1"/>
  <c r="A377" i="1"/>
  <c r="B377" i="1"/>
  <c r="C377" i="1"/>
  <c r="D377" i="1"/>
  <c r="A34" i="1"/>
  <c r="B34" i="1"/>
  <c r="C34" i="1"/>
  <c r="D34" i="1"/>
  <c r="A14" i="1"/>
  <c r="B14" i="1"/>
  <c r="C14" i="1"/>
  <c r="D14" i="1"/>
  <c r="A42" i="1"/>
  <c r="B42" i="1"/>
  <c r="C42" i="1"/>
  <c r="D42" i="1"/>
  <c r="A547" i="1"/>
  <c r="B547" i="1"/>
  <c r="C547" i="1"/>
  <c r="D547" i="1"/>
  <c r="A540" i="1"/>
  <c r="B540" i="1"/>
  <c r="C540" i="1"/>
  <c r="D540" i="1"/>
  <c r="A364" i="1"/>
  <c r="B364" i="1"/>
  <c r="C364" i="1"/>
  <c r="D364" i="1"/>
  <c r="A43" i="1"/>
  <c r="B43" i="1"/>
  <c r="C43" i="1"/>
  <c r="D43" i="1"/>
  <c r="A124" i="1"/>
  <c r="B124" i="1"/>
  <c r="C124" i="1"/>
  <c r="D124" i="1"/>
  <c r="A35" i="1"/>
  <c r="B35" i="1"/>
  <c r="C35" i="1"/>
  <c r="D35" i="1"/>
  <c r="A407" i="1"/>
  <c r="B407" i="1"/>
  <c r="C407" i="1"/>
  <c r="D407" i="1"/>
  <c r="A532" i="1"/>
  <c r="B532" i="1"/>
  <c r="C532" i="1"/>
  <c r="D532" i="1"/>
  <c r="A545" i="1"/>
  <c r="B545" i="1"/>
  <c r="C545" i="1"/>
  <c r="D545" i="1"/>
  <c r="A551" i="1"/>
  <c r="B551" i="1"/>
  <c r="C551" i="1"/>
  <c r="D551" i="1"/>
  <c r="A125" i="1"/>
  <c r="B125" i="1"/>
  <c r="C125" i="1"/>
  <c r="D125" i="1"/>
  <c r="A408" i="1"/>
  <c r="B408" i="1"/>
  <c r="C408" i="1"/>
  <c r="D408" i="1"/>
  <c r="A534" i="1"/>
  <c r="B534" i="1"/>
  <c r="C534" i="1"/>
  <c r="D534" i="1"/>
  <c r="A546" i="1"/>
  <c r="B546" i="1"/>
  <c r="C546" i="1"/>
  <c r="D546" i="1"/>
  <c r="A552" i="1"/>
  <c r="B552" i="1"/>
  <c r="C552" i="1"/>
  <c r="D552" i="1"/>
  <c r="A383" i="1"/>
  <c r="B383" i="1"/>
  <c r="C383" i="1"/>
  <c r="D383" i="1"/>
  <c r="A384" i="1"/>
  <c r="B384" i="1"/>
  <c r="C384" i="1"/>
  <c r="D384" i="1"/>
  <c r="A398" i="1"/>
  <c r="B398" i="1"/>
  <c r="C398" i="1"/>
  <c r="D398" i="1"/>
  <c r="A399" i="1"/>
  <c r="B399" i="1"/>
  <c r="C399" i="1"/>
  <c r="D399" i="1"/>
  <c r="A400" i="1"/>
  <c r="B400" i="1"/>
  <c r="C400" i="1"/>
  <c r="D400" i="1"/>
  <c r="A401" i="1"/>
  <c r="B401" i="1"/>
  <c r="C401" i="1"/>
  <c r="D401" i="1"/>
  <c r="A402" i="1"/>
  <c r="B402" i="1"/>
  <c r="C402" i="1"/>
  <c r="D402" i="1"/>
  <c r="A7" i="1"/>
  <c r="B7" i="1"/>
  <c r="C7" i="1"/>
  <c r="D7" i="1"/>
  <c r="A403" i="1"/>
  <c r="B403" i="1"/>
  <c r="C403" i="1"/>
  <c r="D403" i="1"/>
  <c r="A404" i="1"/>
  <c r="B404" i="1"/>
  <c r="C404" i="1"/>
  <c r="D404" i="1"/>
  <c r="A23" i="1"/>
  <c r="B23" i="1"/>
  <c r="C23" i="1"/>
  <c r="D23" i="1"/>
  <c r="A101" i="1"/>
  <c r="B101" i="1"/>
  <c r="C101" i="1"/>
  <c r="D101" i="1"/>
  <c r="A68" i="1"/>
  <c r="B68" i="1"/>
  <c r="C68" i="1"/>
  <c r="D68" i="1"/>
  <c r="A91" i="1"/>
  <c r="B91" i="1"/>
  <c r="C91" i="1"/>
  <c r="D91" i="1"/>
  <c r="A108" i="1"/>
  <c r="B108" i="1"/>
  <c r="C108" i="1"/>
  <c r="D108" i="1"/>
  <c r="A110" i="1"/>
  <c r="B110" i="1"/>
  <c r="C110" i="1"/>
  <c r="D110" i="1"/>
  <c r="A94" i="1"/>
  <c r="B94" i="1"/>
  <c r="C94" i="1"/>
  <c r="D94" i="1"/>
  <c r="A73" i="1"/>
  <c r="B73" i="1"/>
  <c r="C73" i="1"/>
  <c r="D73" i="1"/>
  <c r="A130" i="1"/>
  <c r="B130" i="1"/>
  <c r="C130" i="1"/>
  <c r="D130" i="1"/>
  <c r="A86" i="1"/>
  <c r="B86" i="1"/>
  <c r="C86" i="1"/>
  <c r="D86" i="1"/>
  <c r="A69" i="1"/>
  <c r="B69" i="1"/>
  <c r="C69" i="1"/>
  <c r="D69" i="1"/>
  <c r="A146" i="1"/>
  <c r="B146" i="1"/>
  <c r="C146" i="1"/>
  <c r="D146" i="1"/>
  <c r="A312" i="1"/>
  <c r="B312" i="1"/>
  <c r="C312" i="1"/>
  <c r="D312" i="1"/>
  <c r="A102" i="1"/>
  <c r="B102" i="1"/>
  <c r="C102" i="1"/>
  <c r="D102" i="1"/>
  <c r="A147" i="1"/>
  <c r="B147" i="1"/>
  <c r="C147" i="1"/>
  <c r="D147" i="1"/>
  <c r="A77" i="1"/>
  <c r="B77" i="1"/>
  <c r="C77" i="1"/>
  <c r="D77" i="1"/>
  <c r="A525" i="1"/>
  <c r="B525" i="1"/>
  <c r="C525" i="1"/>
  <c r="D525" i="1"/>
  <c r="A526" i="1"/>
  <c r="B526" i="1"/>
  <c r="C526" i="1"/>
  <c r="D526" i="1"/>
  <c r="A517" i="1"/>
  <c r="B517" i="1"/>
  <c r="C517" i="1"/>
  <c r="D517" i="1"/>
  <c r="A233" i="1"/>
  <c r="B233" i="1"/>
  <c r="C233" i="1"/>
  <c r="D233" i="1"/>
  <c r="A352" i="1"/>
  <c r="B352" i="1"/>
  <c r="C352" i="1"/>
  <c r="D352" i="1"/>
  <c r="A390" i="1"/>
  <c r="B390" i="1"/>
  <c r="C390" i="1"/>
  <c r="D390" i="1"/>
  <c r="A313" i="1"/>
  <c r="B313" i="1"/>
  <c r="C313" i="1"/>
  <c r="D313" i="1"/>
  <c r="A70" i="1"/>
  <c r="B70" i="1"/>
  <c r="C70" i="1"/>
  <c r="D70" i="1"/>
  <c r="A105" i="1"/>
  <c r="B105" i="1"/>
  <c r="C105" i="1"/>
  <c r="D105" i="1"/>
  <c r="A95" i="1"/>
  <c r="B95" i="1"/>
  <c r="C95" i="1"/>
  <c r="D95" i="1"/>
  <c r="A83" i="1"/>
  <c r="B83" i="1"/>
  <c r="C83" i="1"/>
  <c r="D83" i="1"/>
  <c r="A89" i="1"/>
  <c r="B89" i="1"/>
  <c r="C89" i="1"/>
  <c r="D89" i="1"/>
  <c r="A129" i="1"/>
  <c r="B129" i="1"/>
  <c r="C129" i="1"/>
  <c r="D129" i="1"/>
  <c r="A127" i="1"/>
  <c r="B127" i="1"/>
  <c r="C127" i="1"/>
  <c r="D127" i="1"/>
  <c r="A126" i="1"/>
  <c r="B126" i="1"/>
  <c r="C126" i="1"/>
  <c r="D126" i="1"/>
  <c r="A503" i="1"/>
  <c r="B503" i="1"/>
  <c r="C503" i="1"/>
  <c r="D503" i="1"/>
  <c r="A502" i="1"/>
  <c r="B502" i="1"/>
  <c r="C502" i="1"/>
  <c r="D502" i="1"/>
  <c r="A496" i="1"/>
  <c r="B496" i="1"/>
  <c r="C496" i="1"/>
  <c r="D496" i="1"/>
  <c r="A498" i="1"/>
  <c r="B498" i="1"/>
  <c r="C498" i="1"/>
  <c r="D498" i="1"/>
  <c r="A500" i="1"/>
  <c r="B500" i="1"/>
  <c r="C500" i="1"/>
  <c r="D500" i="1"/>
  <c r="A504" i="1"/>
  <c r="B504" i="1"/>
  <c r="C504" i="1"/>
  <c r="D504" i="1"/>
  <c r="A491" i="1"/>
  <c r="B491" i="1"/>
  <c r="C491" i="1"/>
  <c r="D491" i="1"/>
  <c r="A505" i="1"/>
  <c r="B505" i="1"/>
  <c r="C505" i="1"/>
  <c r="D505" i="1"/>
  <c r="A506" i="1"/>
  <c r="B506" i="1"/>
  <c r="C506" i="1"/>
  <c r="D506" i="1"/>
  <c r="A492" i="1"/>
  <c r="B492" i="1"/>
  <c r="C492" i="1"/>
  <c r="D492" i="1"/>
  <c r="A493" i="1"/>
  <c r="B493" i="1"/>
  <c r="C493" i="1"/>
  <c r="D493" i="1"/>
  <c r="A501" i="1"/>
  <c r="B501" i="1"/>
  <c r="C501" i="1"/>
  <c r="D501" i="1"/>
  <c r="A272" i="1"/>
  <c r="B272" i="1"/>
  <c r="C272" i="1"/>
  <c r="D272" i="1"/>
  <c r="A386" i="1"/>
  <c r="B386" i="1"/>
  <c r="C386" i="1"/>
  <c r="D386" i="1"/>
  <c r="A316" i="1"/>
  <c r="B316" i="1"/>
  <c r="C316" i="1"/>
  <c r="D316" i="1"/>
  <c r="A234" i="1"/>
  <c r="B234" i="1"/>
  <c r="C234" i="1"/>
  <c r="D234" i="1"/>
  <c r="A353" i="1"/>
  <c r="B353" i="1"/>
  <c r="C353" i="1"/>
  <c r="D353" i="1"/>
  <c r="A387" i="1"/>
  <c r="B387" i="1"/>
  <c r="C387" i="1"/>
  <c r="D387" i="1"/>
  <c r="A391" i="1"/>
  <c r="B391" i="1"/>
  <c r="C391" i="1"/>
  <c r="D391" i="1"/>
  <c r="A317" i="1"/>
  <c r="B317" i="1"/>
  <c r="C317" i="1"/>
  <c r="D317" i="1"/>
  <c r="A235" i="1"/>
  <c r="B235" i="1"/>
  <c r="C235" i="1"/>
  <c r="D235" i="1"/>
  <c r="A354" i="1"/>
  <c r="B354" i="1"/>
  <c r="C354" i="1"/>
  <c r="D354" i="1"/>
  <c r="A388" i="1"/>
  <c r="B388" i="1"/>
  <c r="C388" i="1"/>
  <c r="D388" i="1"/>
  <c r="A392" i="1"/>
  <c r="B392" i="1"/>
  <c r="C392" i="1"/>
  <c r="D392" i="1"/>
  <c r="A309" i="1"/>
  <c r="B309" i="1"/>
  <c r="C309" i="1"/>
  <c r="D309" i="1"/>
  <c r="A232" i="1"/>
  <c r="B232" i="1"/>
  <c r="C232" i="1"/>
  <c r="D232" i="1"/>
  <c r="A350" i="1"/>
  <c r="B350" i="1"/>
  <c r="C350" i="1"/>
  <c r="D350" i="1"/>
  <c r="A385" i="1"/>
  <c r="B385" i="1"/>
  <c r="C385" i="1"/>
  <c r="D385" i="1"/>
  <c r="A389" i="1"/>
  <c r="B389" i="1"/>
  <c r="C389" i="1"/>
  <c r="D389" i="1"/>
  <c r="A610" i="1"/>
  <c r="B610" i="1"/>
  <c r="C610" i="1"/>
  <c r="D610" i="1"/>
  <c r="A55" i="1"/>
  <c r="B55" i="1"/>
  <c r="C55" i="1"/>
  <c r="D55" i="1"/>
  <c r="A56" i="1"/>
  <c r="B56" i="1"/>
  <c r="C56" i="1"/>
  <c r="D56" i="1"/>
  <c r="A57" i="1"/>
  <c r="B57" i="1"/>
  <c r="C57" i="1"/>
  <c r="D57" i="1"/>
  <c r="A58" i="1"/>
  <c r="B58" i="1"/>
  <c r="C58" i="1"/>
  <c r="D58" i="1"/>
  <c r="A365" i="1"/>
  <c r="B365" i="1"/>
  <c r="C365" i="1"/>
  <c r="D365" i="1"/>
  <c r="A602" i="1"/>
  <c r="B602" i="1"/>
  <c r="C602" i="1"/>
  <c r="D602" i="1"/>
  <c r="A368" i="1"/>
  <c r="B368" i="1"/>
  <c r="C368" i="1"/>
  <c r="D368" i="1"/>
  <c r="A120" i="1"/>
  <c r="B120" i="1"/>
  <c r="C120" i="1"/>
  <c r="D120" i="1"/>
  <c r="A371" i="1"/>
  <c r="B371" i="1"/>
  <c r="C371" i="1"/>
  <c r="D371" i="1"/>
  <c r="A374" i="1"/>
  <c r="B374" i="1"/>
  <c r="C374" i="1"/>
  <c r="D374" i="1"/>
  <c r="A260" i="1"/>
  <c r="B260" i="1"/>
  <c r="C260" i="1"/>
  <c r="D260" i="1"/>
  <c r="A228" i="1"/>
  <c r="B228" i="1"/>
  <c r="C228" i="1"/>
  <c r="D228" i="1"/>
  <c r="A162" i="1"/>
  <c r="B162" i="1"/>
  <c r="C162" i="1"/>
  <c r="D162" i="1"/>
  <c r="A230" i="1"/>
  <c r="B230" i="1"/>
  <c r="C230" i="1"/>
  <c r="D230" i="1"/>
  <c r="A221" i="1"/>
  <c r="B221" i="1"/>
  <c r="C221" i="1"/>
  <c r="D221" i="1"/>
  <c r="A158" i="1"/>
  <c r="B158" i="1"/>
  <c r="C158" i="1"/>
  <c r="D158" i="1"/>
  <c r="A194" i="1"/>
  <c r="B194" i="1"/>
  <c r="C194" i="1"/>
  <c r="D194" i="1"/>
  <c r="A222" i="1"/>
  <c r="B222" i="1"/>
  <c r="C222" i="1"/>
  <c r="D222" i="1"/>
  <c r="A159" i="1"/>
  <c r="B159" i="1"/>
  <c r="C159" i="1"/>
  <c r="D159" i="1"/>
  <c r="A180" i="1"/>
  <c r="B180" i="1"/>
  <c r="C180" i="1"/>
  <c r="D180" i="1"/>
  <c r="A166" i="1"/>
  <c r="B166" i="1"/>
  <c r="C166" i="1"/>
  <c r="D166" i="1"/>
  <c r="A61" i="1"/>
  <c r="B61" i="1"/>
  <c r="C61" i="1"/>
  <c r="D61" i="1"/>
  <c r="A170" i="1"/>
  <c r="B170" i="1"/>
  <c r="C170" i="1"/>
  <c r="D170" i="1"/>
  <c r="A175" i="1"/>
  <c r="B175" i="1"/>
  <c r="C175" i="1"/>
  <c r="D175" i="1"/>
  <c r="A304" i="1"/>
  <c r="B304" i="1"/>
  <c r="C304" i="1"/>
  <c r="D304" i="1"/>
  <c r="A305" i="1"/>
  <c r="B305" i="1"/>
  <c r="C305" i="1"/>
  <c r="D305" i="1"/>
  <c r="A306" i="1"/>
  <c r="B306" i="1"/>
  <c r="C306" i="1"/>
  <c r="D306" i="1"/>
  <c r="A247" i="1"/>
  <c r="B247" i="1"/>
  <c r="C247" i="1"/>
  <c r="D247" i="1"/>
  <c r="A248" i="1"/>
  <c r="B248" i="1"/>
  <c r="C248" i="1"/>
  <c r="D248" i="1"/>
  <c r="A249" i="1"/>
  <c r="B249" i="1"/>
  <c r="C249" i="1"/>
  <c r="D249" i="1"/>
  <c r="A256" i="1"/>
  <c r="B256" i="1"/>
  <c r="C256" i="1"/>
  <c r="D256" i="1"/>
  <c r="A257" i="1"/>
  <c r="B257" i="1"/>
  <c r="C257" i="1"/>
  <c r="D257" i="1"/>
  <c r="A261" i="1"/>
  <c r="B261" i="1"/>
  <c r="C261" i="1"/>
  <c r="D261" i="1"/>
  <c r="A262" i="1"/>
  <c r="B262" i="1"/>
  <c r="C262" i="1"/>
  <c r="D262" i="1"/>
  <c r="A337" i="1"/>
  <c r="B337" i="1"/>
  <c r="C337" i="1"/>
  <c r="D337" i="1"/>
  <c r="A338" i="1"/>
  <c r="B338" i="1"/>
  <c r="C338" i="1"/>
  <c r="D338" i="1"/>
  <c r="A339" i="1"/>
  <c r="B339" i="1"/>
  <c r="C339" i="1"/>
  <c r="D339" i="1"/>
  <c r="A315" i="1"/>
  <c r="B315" i="1"/>
  <c r="C315" i="1"/>
  <c r="D315" i="1"/>
  <c r="A311" i="1"/>
  <c r="B311" i="1"/>
  <c r="C311" i="1"/>
  <c r="D311" i="1"/>
  <c r="A343" i="1"/>
  <c r="B343" i="1"/>
  <c r="C343" i="1"/>
  <c r="D343" i="1"/>
  <c r="A344" i="1"/>
  <c r="B344" i="1"/>
  <c r="C344" i="1"/>
  <c r="D344" i="1"/>
  <c r="A340" i="1"/>
  <c r="B340" i="1"/>
  <c r="C340" i="1"/>
  <c r="D340" i="1"/>
  <c r="A263" i="1"/>
  <c r="B263" i="1"/>
  <c r="C263" i="1"/>
  <c r="D263" i="1"/>
  <c r="A264" i="1"/>
  <c r="B264" i="1"/>
  <c r="C264" i="1"/>
  <c r="D264" i="1"/>
  <c r="A252" i="1"/>
  <c r="B252" i="1"/>
  <c r="C252" i="1"/>
  <c r="D252" i="1"/>
  <c r="A242" i="1"/>
  <c r="B242" i="1"/>
  <c r="C242" i="1"/>
  <c r="D242" i="1"/>
  <c r="A172" i="1"/>
  <c r="B172" i="1"/>
  <c r="C172" i="1"/>
  <c r="D172" i="1"/>
  <c r="A345" i="1"/>
  <c r="B345" i="1"/>
  <c r="C345" i="1"/>
  <c r="D345" i="1"/>
  <c r="A253" i="1"/>
  <c r="B253" i="1"/>
  <c r="C253" i="1"/>
  <c r="D253" i="1"/>
  <c r="A250" i="1"/>
  <c r="B250" i="1"/>
  <c r="C250" i="1"/>
  <c r="D250" i="1"/>
  <c r="A254" i="1"/>
  <c r="B254" i="1"/>
  <c r="C254" i="1"/>
  <c r="D254" i="1"/>
  <c r="A251" i="1"/>
  <c r="B251" i="1"/>
  <c r="C251" i="1"/>
  <c r="D251" i="1"/>
  <c r="A79" i="1"/>
  <c r="B79" i="1"/>
  <c r="C79" i="1"/>
  <c r="D79" i="1"/>
  <c r="A27" i="1"/>
  <c r="B27" i="1"/>
  <c r="C27" i="1"/>
  <c r="D27" i="1"/>
  <c r="A123" i="1"/>
  <c r="B123" i="1"/>
  <c r="C123" i="1"/>
  <c r="D123" i="1"/>
  <c r="A511" i="1"/>
  <c r="B511" i="1"/>
  <c r="C511" i="1"/>
  <c r="D511" i="1"/>
  <c r="A507" i="1"/>
  <c r="B507" i="1"/>
  <c r="C507" i="1"/>
  <c r="D507" i="1"/>
  <c r="A515" i="1"/>
  <c r="B515" i="1"/>
  <c r="C515" i="1"/>
  <c r="D515" i="1"/>
  <c r="A510" i="1"/>
  <c r="B510" i="1"/>
  <c r="C510" i="1"/>
  <c r="D510" i="1"/>
  <c r="A509" i="1"/>
  <c r="B509" i="1"/>
  <c r="C509" i="1"/>
  <c r="D509" i="1"/>
  <c r="A508" i="1"/>
  <c r="B508" i="1"/>
  <c r="C508" i="1"/>
  <c r="D508" i="1"/>
  <c r="A516" i="1"/>
  <c r="B516" i="1"/>
  <c r="C516" i="1"/>
  <c r="D516" i="1"/>
  <c r="A223" i="1"/>
  <c r="B223" i="1"/>
  <c r="C223" i="1"/>
  <c r="D223" i="1"/>
  <c r="A36" i="1"/>
  <c r="B36" i="1"/>
  <c r="C36" i="1"/>
  <c r="D36" i="1"/>
  <c r="A26" i="1"/>
  <c r="B26" i="1"/>
  <c r="C26" i="1"/>
  <c r="D26" i="1"/>
  <c r="A2" i="1"/>
  <c r="B2" i="1"/>
  <c r="C2" i="1"/>
  <c r="D2" i="1"/>
  <c r="A24" i="1"/>
  <c r="B24" i="1"/>
  <c r="C24" i="1"/>
  <c r="D24" i="1"/>
  <c r="A4" i="1"/>
  <c r="B4" i="1"/>
  <c r="C4" i="1"/>
  <c r="D4" i="1"/>
  <c r="A15" i="1"/>
  <c r="B15" i="1"/>
  <c r="C15" i="1"/>
  <c r="D15" i="1"/>
  <c r="A229" i="1"/>
  <c r="B229" i="1"/>
  <c r="C229" i="1"/>
  <c r="D229" i="1"/>
  <c r="A219" i="1"/>
  <c r="B219" i="1"/>
  <c r="C219" i="1"/>
  <c r="D219" i="1"/>
  <c r="A217" i="1"/>
  <c r="B217" i="1"/>
  <c r="C217" i="1"/>
  <c r="D217" i="1"/>
  <c r="A185" i="1"/>
  <c r="B185" i="1"/>
  <c r="C185" i="1"/>
  <c r="D185" i="1"/>
  <c r="A167" i="1"/>
  <c r="B167" i="1"/>
  <c r="C167" i="1"/>
  <c r="D167" i="1"/>
  <c r="A310" i="1"/>
  <c r="B310" i="1"/>
  <c r="C310" i="1"/>
  <c r="D310" i="1"/>
  <c r="A160" i="1"/>
  <c r="B160" i="1"/>
  <c r="C160" i="1"/>
  <c r="D160" i="1"/>
  <c r="A41" i="1"/>
  <c r="B41" i="1"/>
  <c r="C41" i="1"/>
  <c r="D41" i="1"/>
  <c r="A215" i="1"/>
  <c r="B215" i="1"/>
  <c r="C215" i="1"/>
  <c r="D215" i="1"/>
  <c r="A469" i="1"/>
  <c r="B469" i="1"/>
  <c r="C469" i="1"/>
  <c r="D469" i="1"/>
  <c r="A205" i="1"/>
  <c r="B205" i="1"/>
  <c r="C205" i="1"/>
  <c r="D205" i="1"/>
  <c r="A203" i="1"/>
  <c r="B203" i="1"/>
  <c r="C203" i="1"/>
  <c r="D203" i="1"/>
  <c r="A206" i="1"/>
  <c r="B206" i="1"/>
  <c r="C206" i="1"/>
  <c r="D206" i="1"/>
  <c r="A214" i="1"/>
  <c r="B214" i="1"/>
  <c r="C214" i="1"/>
  <c r="D214" i="1"/>
  <c r="A201" i="1"/>
  <c r="B201" i="1"/>
  <c r="C201" i="1"/>
  <c r="D201" i="1"/>
  <c r="A190" i="1"/>
  <c r="B190" i="1"/>
  <c r="C190" i="1"/>
  <c r="D190" i="1"/>
  <c r="A187" i="1"/>
  <c r="B187" i="1"/>
  <c r="C187" i="1"/>
  <c r="D187" i="1"/>
  <c r="A181" i="1"/>
  <c r="B181" i="1"/>
  <c r="C181" i="1"/>
  <c r="D181" i="1"/>
  <c r="A173" i="1"/>
  <c r="B173" i="1"/>
  <c r="C173" i="1"/>
  <c r="D173" i="1"/>
  <c r="A168" i="1"/>
  <c r="B168" i="1"/>
  <c r="C168" i="1"/>
  <c r="D168" i="1"/>
  <c r="A48" i="1"/>
  <c r="B48" i="1"/>
  <c r="C48" i="1"/>
  <c r="D48" i="1"/>
  <c r="A49" i="1"/>
  <c r="B49" i="1"/>
  <c r="C49" i="1"/>
  <c r="D49" i="1"/>
  <c r="A359" i="1"/>
  <c r="B359" i="1"/>
  <c r="C359" i="1"/>
  <c r="D359" i="1"/>
  <c r="A62" i="1"/>
  <c r="B62" i="1"/>
  <c r="C62" i="1"/>
  <c r="D62" i="1"/>
  <c r="A9" i="1"/>
  <c r="B9" i="1"/>
  <c r="C9" i="1"/>
  <c r="D9" i="1"/>
  <c r="A358" i="1"/>
  <c r="B358" i="1"/>
  <c r="C358" i="1"/>
  <c r="D358" i="1"/>
  <c r="A611" i="1"/>
  <c r="B611" i="1"/>
  <c r="C611" i="1"/>
  <c r="D611" i="1"/>
  <c r="A52" i="1"/>
  <c r="B52" i="1"/>
  <c r="C52" i="1"/>
  <c r="D52" i="1"/>
  <c r="A528" i="1"/>
  <c r="B528" i="1"/>
  <c r="C528" i="1"/>
  <c r="D528" i="1"/>
  <c r="A111" i="1"/>
  <c r="B111" i="1"/>
  <c r="C111" i="1"/>
  <c r="D111" i="1"/>
  <c r="A113" i="1"/>
  <c r="B113" i="1"/>
  <c r="C113" i="1"/>
  <c r="D113" i="1"/>
  <c r="A512" i="1"/>
  <c r="B512" i="1"/>
  <c r="C512" i="1"/>
  <c r="D512" i="1"/>
  <c r="A529" i="1"/>
  <c r="B529" i="1"/>
  <c r="C529" i="1"/>
  <c r="D529" i="1"/>
  <c r="A530" i="1"/>
  <c r="B530" i="1"/>
  <c r="C530" i="1"/>
  <c r="D530" i="1"/>
  <c r="A513" i="1"/>
  <c r="B513" i="1"/>
  <c r="C513" i="1"/>
  <c r="D513" i="1"/>
  <c r="A20" i="1"/>
  <c r="B20" i="1"/>
  <c r="C20" i="1"/>
  <c r="D20" i="1"/>
  <c r="A3" i="1"/>
  <c r="B3" i="1"/>
  <c r="C3" i="1"/>
  <c r="D3" i="1"/>
  <c r="A16" i="1"/>
  <c r="B16" i="1"/>
  <c r="C16" i="1"/>
  <c r="D16" i="1"/>
  <c r="A33" i="1"/>
  <c r="B33" i="1"/>
  <c r="C33" i="1"/>
  <c r="D33" i="1"/>
  <c r="A25" i="1"/>
  <c r="B25" i="1"/>
  <c r="C25" i="1"/>
  <c r="D25" i="1"/>
  <c r="A122" i="1"/>
  <c r="B122" i="1"/>
  <c r="C122" i="1"/>
  <c r="D122" i="1"/>
  <c r="A470" i="1"/>
  <c r="B470" i="1"/>
  <c r="C470" i="1"/>
  <c r="D470" i="1"/>
  <c r="A623" i="1"/>
  <c r="B623" i="1"/>
  <c r="C623" i="1"/>
  <c r="D623" i="1"/>
  <c r="A568" i="1"/>
  <c r="B568" i="1"/>
  <c r="C568" i="1"/>
  <c r="D568" i="1"/>
  <c r="A476" i="1"/>
  <c r="B476" i="1"/>
  <c r="C476" i="1"/>
  <c r="D476" i="1"/>
  <c r="A463" i="1"/>
  <c r="B463" i="1"/>
  <c r="C463" i="1"/>
  <c r="D463" i="1"/>
  <c r="A464" i="1"/>
  <c r="B464" i="1"/>
  <c r="C464" i="1"/>
  <c r="D464" i="1"/>
  <c r="A477" i="1"/>
  <c r="B477" i="1"/>
  <c r="C477" i="1"/>
  <c r="D477" i="1"/>
  <c r="A471" i="1"/>
  <c r="B471" i="1"/>
  <c r="C471" i="1"/>
  <c r="D471" i="1"/>
  <c r="A80" i="1"/>
  <c r="B80" i="1"/>
  <c r="C80" i="1"/>
  <c r="D80" i="1"/>
  <c r="A81" i="1"/>
  <c r="B81" i="1"/>
  <c r="C81" i="1"/>
  <c r="D81" i="1"/>
  <c r="A554" i="1"/>
  <c r="B554" i="1"/>
  <c r="C554" i="1"/>
  <c r="D554" i="1"/>
  <c r="A210" i="1"/>
  <c r="B210" i="1"/>
  <c r="C210" i="1"/>
  <c r="D210" i="1"/>
  <c r="A200" i="1"/>
  <c r="B200" i="1"/>
  <c r="C200" i="1"/>
  <c r="D200" i="1"/>
  <c r="A218" i="1"/>
  <c r="B218" i="1"/>
  <c r="C218" i="1"/>
  <c r="D218" i="1"/>
  <c r="A207" i="1"/>
  <c r="B207" i="1"/>
  <c r="C207" i="1"/>
  <c r="D207" i="1"/>
  <c r="A208" i="1"/>
  <c r="B208" i="1"/>
  <c r="C208" i="1"/>
  <c r="D208" i="1"/>
  <c r="A273" i="1"/>
  <c r="B273" i="1"/>
  <c r="C273" i="1"/>
  <c r="D273" i="1"/>
  <c r="A65" i="1"/>
  <c r="B65" i="1"/>
  <c r="C65" i="1"/>
  <c r="D65" i="1"/>
  <c r="A531" i="1"/>
  <c r="B531" i="1"/>
  <c r="C531" i="1"/>
  <c r="D531" i="1"/>
  <c r="A519" i="1"/>
  <c r="B519" i="1"/>
  <c r="C519" i="1"/>
  <c r="D519" i="1"/>
  <c r="A47" i="1"/>
  <c r="B47" i="1"/>
  <c r="C47" i="1"/>
  <c r="D47" i="1"/>
  <c r="A606" i="1"/>
  <c r="B606" i="1"/>
  <c r="C606" i="1"/>
  <c r="D606" i="1"/>
  <c r="A51" i="1"/>
  <c r="B51" i="1"/>
  <c r="C51" i="1"/>
  <c r="D51" i="1"/>
  <c r="A50" i="1"/>
  <c r="B50" i="1"/>
  <c r="C50" i="1"/>
  <c r="D50" i="1"/>
  <c r="A59" i="1"/>
  <c r="B59" i="1"/>
  <c r="C59" i="1"/>
  <c r="D59" i="1"/>
  <c r="A314" i="1"/>
  <c r="B314" i="1"/>
  <c r="C314" i="1"/>
  <c r="D314" i="1"/>
  <c r="A549" i="1"/>
  <c r="B549" i="1"/>
  <c r="C549" i="1"/>
  <c r="D549" i="1"/>
  <c r="A369" i="1"/>
  <c r="B369" i="1"/>
  <c r="C369" i="1"/>
  <c r="D369" i="1"/>
  <c r="A349" i="1"/>
  <c r="B349" i="1"/>
  <c r="C349" i="1"/>
  <c r="D349" i="1"/>
  <c r="A348" i="1"/>
  <c r="B348" i="1"/>
  <c r="C348" i="1"/>
  <c r="D348" i="1"/>
  <c r="A351" i="1"/>
  <c r="B351" i="1"/>
  <c r="C351" i="1"/>
  <c r="D351" i="1"/>
  <c r="A556" i="1"/>
  <c r="B556" i="1"/>
  <c r="C556" i="1"/>
  <c r="D556" i="1"/>
  <c r="A28" i="1"/>
  <c r="B28" i="1"/>
  <c r="C28" i="1"/>
  <c r="D28" i="1"/>
  <c r="A601" i="1"/>
  <c r="B601" i="1"/>
  <c r="C601" i="1"/>
  <c r="D601" i="1"/>
  <c r="A8" i="1"/>
  <c r="B8" i="1"/>
  <c r="C8" i="1"/>
  <c r="D8" i="1"/>
  <c r="A334" i="1"/>
  <c r="B334" i="1"/>
  <c r="C334" i="1"/>
  <c r="D334" i="1"/>
  <c r="A543" i="1"/>
  <c r="B543" i="1"/>
  <c r="C543" i="1"/>
  <c r="D543" i="1"/>
  <c r="A544" i="1"/>
  <c r="B544" i="1"/>
  <c r="C544" i="1"/>
  <c r="D544" i="1"/>
  <c r="A10" i="1"/>
  <c r="B10" i="1"/>
  <c r="C10" i="1"/>
  <c r="D10" i="1"/>
  <c r="A579" i="1"/>
  <c r="B579" i="1"/>
  <c r="C579" i="1"/>
  <c r="D579" i="1"/>
  <c r="A211" i="1"/>
  <c r="B211" i="1"/>
  <c r="C211" i="1"/>
  <c r="D211" i="1"/>
  <c r="A209" i="1"/>
  <c r="B209" i="1"/>
  <c r="C209" i="1"/>
  <c r="D209" i="1"/>
  <c r="A514" i="1"/>
  <c r="B514" i="1"/>
  <c r="C514" i="1"/>
  <c r="D514" i="1"/>
  <c r="A90" i="1"/>
  <c r="B90" i="1"/>
  <c r="C90" i="1"/>
  <c r="D90" i="1"/>
  <c r="A71" i="1"/>
  <c r="B71" i="1"/>
  <c r="C71" i="1"/>
  <c r="D71" i="1"/>
  <c r="A106" i="1"/>
  <c r="B106" i="1"/>
  <c r="C106" i="1"/>
  <c r="D106" i="1"/>
  <c r="A96" i="1"/>
  <c r="B96" i="1"/>
  <c r="C96" i="1"/>
  <c r="D96" i="1"/>
  <c r="A84" i="1"/>
  <c r="B84" i="1"/>
  <c r="C84" i="1"/>
  <c r="D84" i="1"/>
  <c r="A216" i="1"/>
  <c r="B216" i="1"/>
  <c r="C216" i="1"/>
  <c r="D216" i="1"/>
  <c r="A182" i="1"/>
  <c r="B182" i="1"/>
  <c r="C182" i="1"/>
  <c r="D182" i="1"/>
  <c r="A183" i="1"/>
  <c r="B183" i="1"/>
  <c r="C183" i="1"/>
  <c r="D183" i="1"/>
  <c r="A193" i="1"/>
  <c r="B193" i="1"/>
  <c r="C193" i="1"/>
  <c r="D193" i="1"/>
  <c r="A163" i="1"/>
  <c r="B163" i="1"/>
  <c r="C163" i="1"/>
  <c r="D163" i="1"/>
  <c r="A186" i="1"/>
  <c r="B186" i="1"/>
  <c r="C186" i="1"/>
  <c r="D186" i="1"/>
  <c r="A196" i="1"/>
  <c r="B196" i="1"/>
  <c r="C196" i="1"/>
  <c r="D196" i="1"/>
  <c r="A164" i="1"/>
  <c r="B164" i="1"/>
  <c r="C164" i="1"/>
  <c r="D164" i="1"/>
  <c r="A45" i="1"/>
  <c r="B45" i="1"/>
  <c r="C45" i="1"/>
  <c r="D45" i="1"/>
  <c r="A66" i="1"/>
  <c r="B66" i="1"/>
  <c r="C66" i="1"/>
  <c r="D66" i="1"/>
  <c r="A212" i="1"/>
  <c r="B212" i="1"/>
  <c r="C212" i="1"/>
  <c r="D212" i="1"/>
  <c r="A213" i="1"/>
  <c r="B213" i="1"/>
  <c r="C213" i="1"/>
  <c r="D213" i="1"/>
  <c r="A103" i="1"/>
  <c r="B103" i="1"/>
  <c r="C103" i="1"/>
  <c r="D103" i="1"/>
  <c r="A75" i="1"/>
  <c r="B75" i="1"/>
  <c r="C75" i="1"/>
  <c r="D75" i="1"/>
  <c r="A93" i="1"/>
  <c r="B93" i="1"/>
  <c r="C93" i="1"/>
  <c r="D93" i="1"/>
  <c r="A78" i="1"/>
  <c r="B78" i="1"/>
  <c r="C78" i="1"/>
  <c r="D78" i="1"/>
  <c r="A87" i="1"/>
  <c r="B87" i="1"/>
  <c r="C87" i="1"/>
  <c r="D87" i="1"/>
  <c r="A104" i="1"/>
  <c r="B104" i="1"/>
  <c r="C104" i="1"/>
  <c r="D104" i="1"/>
  <c r="A109" i="1"/>
  <c r="B109" i="1"/>
  <c r="C109" i="1"/>
  <c r="D109" i="1"/>
  <c r="A92" i="1"/>
  <c r="B92" i="1"/>
  <c r="C92" i="1"/>
  <c r="D92" i="1"/>
  <c r="A74" i="1"/>
  <c r="B74" i="1"/>
  <c r="C74" i="1"/>
  <c r="D74" i="1"/>
  <c r="A82" i="1"/>
  <c r="B82" i="1"/>
  <c r="C82" i="1"/>
  <c r="D82" i="1"/>
  <c r="A538" i="1"/>
  <c r="B538" i="1"/>
  <c r="C538" i="1"/>
  <c r="D538" i="1"/>
  <c r="A148" i="1"/>
  <c r="B148" i="1"/>
  <c r="C148" i="1"/>
  <c r="D148" i="1"/>
  <c r="A151" i="1"/>
  <c r="B151" i="1"/>
  <c r="C151" i="1"/>
  <c r="D151" i="1"/>
  <c r="A152" i="1"/>
  <c r="B152" i="1"/>
  <c r="C152" i="1"/>
  <c r="D152" i="1"/>
  <c r="A150" i="1"/>
  <c r="B150" i="1"/>
  <c r="C150" i="1"/>
  <c r="D150" i="1"/>
  <c r="A497" i="1"/>
  <c r="B497" i="1"/>
  <c r="C497" i="1"/>
  <c r="D497" i="1"/>
  <c r="A225" i="1"/>
  <c r="B225" i="1"/>
  <c r="C225" i="1"/>
  <c r="D225" i="1"/>
  <c r="A204" i="1"/>
  <c r="B204" i="1"/>
  <c r="C204" i="1"/>
  <c r="D204" i="1"/>
  <c r="A472" i="1"/>
  <c r="B472" i="1"/>
  <c r="C472" i="1"/>
  <c r="D472" i="1"/>
  <c r="A436" i="1"/>
  <c r="B436" i="1"/>
  <c r="C436" i="1"/>
  <c r="D436" i="1"/>
  <c r="A444" i="1"/>
  <c r="B444" i="1"/>
  <c r="C444" i="1"/>
  <c r="D444" i="1"/>
  <c r="A489" i="1"/>
  <c r="B489" i="1"/>
  <c r="C489" i="1"/>
  <c r="D489" i="1"/>
  <c r="A454" i="1"/>
  <c r="B454" i="1"/>
  <c r="C454" i="1"/>
  <c r="D454" i="1"/>
  <c r="A462" i="1"/>
  <c r="B462" i="1"/>
  <c r="C462" i="1"/>
  <c r="D462" i="1"/>
  <c r="A475" i="1"/>
  <c r="B475" i="1"/>
  <c r="C475" i="1"/>
  <c r="D475" i="1"/>
  <c r="A165" i="1"/>
  <c r="B165" i="1"/>
  <c r="C165" i="1"/>
  <c r="D165" i="1"/>
  <c r="A184" i="1"/>
  <c r="B184" i="1"/>
  <c r="C184" i="1"/>
  <c r="D184" i="1"/>
  <c r="A195" i="1"/>
  <c r="B195" i="1"/>
  <c r="C195" i="1"/>
  <c r="D195" i="1"/>
  <c r="A189" i="1"/>
  <c r="B189" i="1"/>
  <c r="C189" i="1"/>
  <c r="D189" i="1"/>
  <c r="A473" i="1"/>
  <c r="B473" i="1"/>
  <c r="C473" i="1"/>
  <c r="D473" i="1"/>
  <c r="A420" i="1"/>
  <c r="B420" i="1"/>
  <c r="C420" i="1"/>
  <c r="D420" i="1"/>
  <c r="A424" i="1"/>
  <c r="B424" i="1"/>
  <c r="C424" i="1"/>
  <c r="D424" i="1"/>
  <c r="A480" i="1"/>
  <c r="B480" i="1"/>
  <c r="C480" i="1"/>
  <c r="D480" i="1"/>
  <c r="A421" i="1"/>
  <c r="B421" i="1"/>
  <c r="C421" i="1"/>
  <c r="D421" i="1"/>
  <c r="A474" i="1"/>
  <c r="B474" i="1"/>
  <c r="C474" i="1"/>
  <c r="D474" i="1"/>
  <c r="A422" i="1"/>
  <c r="B422" i="1"/>
  <c r="C422" i="1"/>
  <c r="D422" i="1"/>
  <c r="A478" i="1"/>
  <c r="B478" i="1"/>
  <c r="C478" i="1"/>
  <c r="D478" i="1"/>
  <c r="A415" i="1"/>
  <c r="B415" i="1"/>
  <c r="C415" i="1"/>
  <c r="D415" i="1"/>
  <c r="A412" i="1"/>
  <c r="B412" i="1"/>
  <c r="C412" i="1"/>
  <c r="D412" i="1"/>
  <c r="A417" i="1"/>
  <c r="B417" i="1"/>
  <c r="C417" i="1"/>
  <c r="D417" i="1"/>
  <c r="A427" i="1"/>
  <c r="B427" i="1"/>
  <c r="C427" i="1"/>
  <c r="D427" i="1"/>
  <c r="A448" i="1"/>
  <c r="B448" i="1"/>
  <c r="C448" i="1"/>
  <c r="D448" i="1"/>
  <c r="A438" i="1"/>
  <c r="B438" i="1"/>
  <c r="C438" i="1"/>
  <c r="D438" i="1"/>
  <c r="A456" i="1"/>
  <c r="B456" i="1"/>
  <c r="C456" i="1"/>
  <c r="D456" i="1"/>
  <c r="A483" i="1"/>
  <c r="B483" i="1"/>
  <c r="C483" i="1"/>
  <c r="D483" i="1"/>
  <c r="A410" i="1"/>
  <c r="B410" i="1"/>
  <c r="C410" i="1"/>
  <c r="D410" i="1"/>
  <c r="A430" i="1"/>
  <c r="B430" i="1"/>
  <c r="C430" i="1"/>
  <c r="D430" i="1"/>
  <c r="A431" i="1"/>
  <c r="B431" i="1"/>
  <c r="C431" i="1"/>
  <c r="D431" i="1"/>
  <c r="A439" i="1"/>
  <c r="B439" i="1"/>
  <c r="C439" i="1"/>
  <c r="D439" i="1"/>
  <c r="A449" i="1"/>
  <c r="B449" i="1"/>
  <c r="C449" i="1"/>
  <c r="D449" i="1"/>
  <c r="A457" i="1"/>
  <c r="B457" i="1"/>
  <c r="C457" i="1"/>
  <c r="D457" i="1"/>
  <c r="A484" i="1"/>
  <c r="B484" i="1"/>
  <c r="C484" i="1"/>
  <c r="D484" i="1"/>
  <c r="A432" i="1"/>
  <c r="B432" i="1"/>
  <c r="C432" i="1"/>
  <c r="D432" i="1"/>
  <c r="A485" i="1"/>
  <c r="B485" i="1"/>
  <c r="C485" i="1"/>
  <c r="D485" i="1"/>
  <c r="A440" i="1"/>
  <c r="B440" i="1"/>
  <c r="C440" i="1"/>
  <c r="D440" i="1"/>
  <c r="A458" i="1"/>
  <c r="B458" i="1"/>
  <c r="C458" i="1"/>
  <c r="D458" i="1"/>
  <c r="A450" i="1"/>
  <c r="B450" i="1"/>
  <c r="C450" i="1"/>
  <c r="D450" i="1"/>
  <c r="A433" i="1"/>
  <c r="B433" i="1"/>
  <c r="C433" i="1"/>
  <c r="D433" i="1"/>
  <c r="A441" i="1"/>
  <c r="B441" i="1"/>
  <c r="C441" i="1"/>
  <c r="D441" i="1"/>
  <c r="A486" i="1"/>
  <c r="B486" i="1"/>
  <c r="C486" i="1"/>
  <c r="D486" i="1"/>
  <c r="A459" i="1"/>
  <c r="B459" i="1"/>
  <c r="C459" i="1"/>
  <c r="D459" i="1"/>
  <c r="A451" i="1"/>
  <c r="B451" i="1"/>
  <c r="C451" i="1"/>
  <c r="D451" i="1"/>
  <c r="A434" i="1"/>
  <c r="B434" i="1"/>
  <c r="C434" i="1"/>
  <c r="D434" i="1"/>
  <c r="A442" i="1"/>
  <c r="B442" i="1"/>
  <c r="C442" i="1"/>
  <c r="D442" i="1"/>
  <c r="A460" i="1"/>
  <c r="B460" i="1"/>
  <c r="C460" i="1"/>
  <c r="D460" i="1"/>
  <c r="A487" i="1"/>
  <c r="B487" i="1"/>
  <c r="C487" i="1"/>
  <c r="D487" i="1"/>
  <c r="A452" i="1"/>
  <c r="B452" i="1"/>
  <c r="C452" i="1"/>
  <c r="D452" i="1"/>
  <c r="A488" i="1"/>
  <c r="B488" i="1"/>
  <c r="C488" i="1"/>
  <c r="D488" i="1"/>
  <c r="A435" i="1"/>
  <c r="B435" i="1"/>
  <c r="C435" i="1"/>
  <c r="D435" i="1"/>
  <c r="A443" i="1"/>
  <c r="B443" i="1"/>
  <c r="C443" i="1"/>
  <c r="D443" i="1"/>
  <c r="A453" i="1"/>
  <c r="B453" i="1"/>
  <c r="C453" i="1"/>
  <c r="D453" i="1"/>
  <c r="A461" i="1"/>
  <c r="B461" i="1"/>
  <c r="C461" i="1"/>
  <c r="D461" i="1"/>
</calcChain>
</file>

<file path=xl/sharedStrings.xml><?xml version="1.0" encoding="utf-8"?>
<sst xmlns="http://schemas.openxmlformats.org/spreadsheetml/2006/main" count="8" uniqueCount="4">
  <si>
    <t xml:space="preserve">Namn </t>
  </si>
  <si>
    <t>Arbetsgivarorganisation</t>
  </si>
  <si>
    <t>Arbetstagarorganisation</t>
  </si>
  <si>
    <t>Löneavtal gäller t o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</si>
</sst>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6" fillId="0" borderId="0" xfId="0" applyFont="1"/>
  </cellXfs>
  <cellStyles count="42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rklarande text" xfId="16" builtinId="53" customBuilti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0</xdr:row>
      <xdr:rowOff>12700</xdr:rowOff>
    </xdr:from>
    <xdr:to>
      <xdr:col>14</xdr:col>
      <xdr:colOff>148950</xdr:colOff>
      <xdr:row>22</xdr:row>
      <xdr:rowOff>94074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D25B2FEB-BEF0-5EEB-C2BD-810FEA8109CA}"/>
            </a:ext>
          </a:extLst>
        </xdr:cNvPr>
        <xdr:cNvSpPr txBox="1"/>
      </xdr:nvSpPr>
      <xdr:spPr>
        <a:xfrm>
          <a:off x="6350" y="12700"/>
          <a:ext cx="8703341" cy="40481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5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Lista</a:t>
          </a:r>
          <a:r>
            <a:rPr lang="sv-SE" sz="1500" b="1" baseline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över gällande kollektivavtal om löner och allmänna villkor </a:t>
          </a:r>
        </a:p>
        <a:p>
          <a:endParaRPr lang="sv-SE" sz="1100" baseline="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  <a:p>
          <a:r>
            <a:rPr lang="sv-SE" sz="1100" baseline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- Avtal_arbetsgivarorganisationer: lista över gällande avtal sorterad i alfabetisk ordning efter arbetsgivarorganisationer </a:t>
          </a:r>
        </a:p>
        <a:p>
          <a:r>
            <a:rPr lang="sv-SE" sz="1100" baseline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- Avtal_arbetstagarorganisationer: lista över gällande avtal sorterad i alfabetisk ordning efter arbetstagarorganisationer </a:t>
          </a:r>
        </a:p>
        <a:p>
          <a:endParaRPr lang="sv-SE" sz="1100" baseline="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  <a:p>
          <a:r>
            <a:rPr lang="sv-SE" sz="1100" baseline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Listan är uppdaterad 2024-05-08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9276F-EFC6-42AA-8B40-26EA5013C899}">
  <dimension ref="A1"/>
  <sheetViews>
    <sheetView zoomScale="81" workbookViewId="0">
      <selection activeCell="N12" sqref="N12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23"/>
  <sheetViews>
    <sheetView zoomScale="60" workbookViewId="0">
      <selection activeCell="H26" sqref="H26"/>
    </sheetView>
  </sheetViews>
  <sheetFormatPr defaultRowHeight="14.5" x14ac:dyDescent="0.35"/>
  <cols>
    <col min="1" max="1" width="49.1796875" customWidth="1"/>
    <col min="2" max="2" width="47.453125" customWidth="1"/>
    <col min="3" max="3" width="40.90625" customWidth="1"/>
    <col min="4" max="4" width="30.81640625" customWidth="1"/>
  </cols>
  <sheetData>
    <row r="1" spans="1:4" x14ac:dyDescent="0.3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5">
      <c r="A2" t="str">
        <f>"Kommunikation"</f>
        <v>Kommunikation</v>
      </c>
      <c r="B2" t="str">
        <f t="shared" ref="B2:B43" si="0">"Almega Tjänsteförbunden"</f>
        <v>Almega Tjänsteförbunden</v>
      </c>
      <c r="C2" t="str">
        <f>"Akavia"</f>
        <v>Akavia</v>
      </c>
      <c r="D2" t="str">
        <f>"2025-07-31"</f>
        <v>2025-07-31</v>
      </c>
    </row>
    <row r="3" spans="1:4" x14ac:dyDescent="0.35">
      <c r="A3" t="str">
        <f>"Järnvägsinfrastruktur"</f>
        <v>Järnvägsinfrastruktur</v>
      </c>
      <c r="B3" t="str">
        <f t="shared" si="0"/>
        <v>Almega Tjänsteförbunden</v>
      </c>
      <c r="C3" t="str">
        <f>"Fackförbundet ST"</f>
        <v>Fackförbundet ST</v>
      </c>
      <c r="D3" t="str">
        <f>"2025-04-30"</f>
        <v>2025-04-30</v>
      </c>
    </row>
    <row r="4" spans="1:4" x14ac:dyDescent="0.35">
      <c r="A4" t="str">
        <f>"Kommunikation"</f>
        <v>Kommunikation</v>
      </c>
      <c r="B4" t="str">
        <f t="shared" si="0"/>
        <v>Almega Tjänsteförbunden</v>
      </c>
      <c r="C4" t="str">
        <f>"Fackförbundet ST"</f>
        <v>Fackförbundet ST</v>
      </c>
      <c r="D4" t="str">
        <f>"2025-07-31"</f>
        <v>2025-07-31</v>
      </c>
    </row>
    <row r="5" spans="1:4" x14ac:dyDescent="0.35">
      <c r="A5" t="str">
        <f>"Specialserviceföretag"</f>
        <v>Specialserviceföretag</v>
      </c>
      <c r="B5" t="str">
        <f t="shared" si="0"/>
        <v>Almega Tjänsteförbunden</v>
      </c>
      <c r="C5" t="str">
        <f>"Fastighetsanställdas Förbund"</f>
        <v>Fastighetsanställdas Förbund</v>
      </c>
      <c r="D5" t="str">
        <f>"2025-03-31"</f>
        <v>2025-03-31</v>
      </c>
    </row>
    <row r="6" spans="1:4" x14ac:dyDescent="0.35">
      <c r="A6" t="str">
        <f>"Fastigheter"</f>
        <v>Fastigheter</v>
      </c>
      <c r="B6" t="str">
        <f t="shared" si="0"/>
        <v>Almega Tjänsteförbunden</v>
      </c>
      <c r="C6" t="str">
        <f>"Fastighetsanställdas Förbund"</f>
        <v>Fastighetsanställdas Förbund</v>
      </c>
      <c r="D6" t="str">
        <f>"2025-03-31"</f>
        <v>2025-03-31</v>
      </c>
    </row>
    <row r="7" spans="1:4" x14ac:dyDescent="0.35">
      <c r="A7" t="str">
        <f>"Serviceentreprenad"</f>
        <v>Serviceentreprenad</v>
      </c>
      <c r="B7" t="str">
        <f t="shared" si="0"/>
        <v>Almega Tjänsteförbunden</v>
      </c>
      <c r="C7" t="str">
        <f>"Fastighetsanställdas Förbund"</f>
        <v>Fastighetsanställdas Förbund</v>
      </c>
      <c r="D7" t="str">
        <f>"2025-05-31"</f>
        <v>2025-05-31</v>
      </c>
    </row>
    <row r="8" spans="1:4" x14ac:dyDescent="0.35">
      <c r="A8" t="str">
        <f>"Fönsterputsningsföretag och andra serviceföretag"</f>
        <v>Fönsterputsningsföretag och andra serviceföretag</v>
      </c>
      <c r="B8" t="str">
        <f t="shared" si="0"/>
        <v>Almega Tjänsteförbunden</v>
      </c>
      <c r="C8" t="str">
        <f>"Fastighetsanställdas Förbund"</f>
        <v>Fastighetsanställdas Förbund</v>
      </c>
      <c r="D8" t="str">
        <f>"2025-10-31"</f>
        <v>2025-10-31</v>
      </c>
    </row>
    <row r="9" spans="1:4" x14ac:dyDescent="0.35">
      <c r="A9" t="str">
        <f>"Lagring och Distribution"</f>
        <v>Lagring och Distribution</v>
      </c>
      <c r="B9" t="str">
        <f t="shared" si="0"/>
        <v>Almega Tjänsteförbunden</v>
      </c>
      <c r="C9" t="str">
        <f>"Handelsanställdas förbund"</f>
        <v>Handelsanställdas förbund</v>
      </c>
      <c r="D9" t="str">
        <f>"2025-03-31"</f>
        <v>2025-03-31</v>
      </c>
    </row>
    <row r="10" spans="1:4" x14ac:dyDescent="0.35">
      <c r="A10" t="str">
        <f>"Spel"</f>
        <v>Spel</v>
      </c>
      <c r="B10" t="str">
        <f t="shared" si="0"/>
        <v>Almega Tjänsteförbunden</v>
      </c>
      <c r="C10" t="str">
        <f>"Hotell- och Restaurangfacket"</f>
        <v>Hotell- och Restaurangfacket</v>
      </c>
      <c r="D10" t="str">
        <f>"2025-09-30"</f>
        <v>2025-09-30</v>
      </c>
    </row>
    <row r="11" spans="1:4" x14ac:dyDescent="0.35">
      <c r="A11" t="str">
        <f>"Hemserviceföretag"</f>
        <v>Hemserviceföretag</v>
      </c>
      <c r="B11" t="str">
        <f t="shared" si="0"/>
        <v>Almega Tjänsteförbunden</v>
      </c>
      <c r="C11" t="str">
        <f t="shared" ref="C11:C17" si="1">"Ledarna"</f>
        <v>Ledarna</v>
      </c>
      <c r="D11" t="str">
        <f>""</f>
        <v/>
      </c>
    </row>
    <row r="12" spans="1:4" x14ac:dyDescent="0.35">
      <c r="A12" t="str">
        <f>"Lagring och Distribution"</f>
        <v>Lagring och Distribution</v>
      </c>
      <c r="B12" t="str">
        <f t="shared" si="0"/>
        <v>Almega Tjänsteförbunden</v>
      </c>
      <c r="C12" t="str">
        <f t="shared" si="1"/>
        <v>Ledarna</v>
      </c>
      <c r="D12" t="str">
        <f>""</f>
        <v/>
      </c>
    </row>
    <row r="13" spans="1:4" x14ac:dyDescent="0.35">
      <c r="A13" t="str">
        <f>"Utveckling och tjänster"</f>
        <v>Utveckling och tjänster</v>
      </c>
      <c r="B13" t="str">
        <f t="shared" si="0"/>
        <v>Almega Tjänsteförbunden</v>
      </c>
      <c r="C13" t="str">
        <f t="shared" si="1"/>
        <v>Ledarna</v>
      </c>
      <c r="D13" t="str">
        <f>""</f>
        <v/>
      </c>
    </row>
    <row r="14" spans="1:4" x14ac:dyDescent="0.35">
      <c r="A14" t="str">
        <f>"Fastigheter"</f>
        <v>Fastigheter</v>
      </c>
      <c r="B14" t="str">
        <f t="shared" si="0"/>
        <v>Almega Tjänsteförbunden</v>
      </c>
      <c r="C14" t="str">
        <f t="shared" si="1"/>
        <v>Ledarna</v>
      </c>
      <c r="D14" t="str">
        <f>""</f>
        <v/>
      </c>
    </row>
    <row r="15" spans="1:4" x14ac:dyDescent="0.35">
      <c r="A15" t="str">
        <f>"Kommunikation"</f>
        <v>Kommunikation</v>
      </c>
      <c r="B15" t="str">
        <f t="shared" si="0"/>
        <v>Almega Tjänsteförbunden</v>
      </c>
      <c r="C15" t="str">
        <f t="shared" si="1"/>
        <v>Ledarna</v>
      </c>
      <c r="D15" t="str">
        <f>""</f>
        <v/>
      </c>
    </row>
    <row r="16" spans="1:4" x14ac:dyDescent="0.35">
      <c r="A16" t="str">
        <f>"Järnvägsinfrastruktur"</f>
        <v>Järnvägsinfrastruktur</v>
      </c>
      <c r="B16" t="str">
        <f t="shared" si="0"/>
        <v>Almega Tjänsteförbunden</v>
      </c>
      <c r="C16" t="str">
        <f t="shared" si="1"/>
        <v>Ledarna</v>
      </c>
      <c r="D16" t="str">
        <f>""</f>
        <v/>
      </c>
    </row>
    <row r="17" spans="1:4" x14ac:dyDescent="0.35">
      <c r="A17" t="str">
        <f>"Almega Tjänsteförbunden, Serviceföretagen Tjänstemannaavtal"</f>
        <v>Almega Tjänsteförbunden, Serviceföretagen Tjänstemannaavtal</v>
      </c>
      <c r="B17" t="str">
        <f t="shared" si="0"/>
        <v>Almega Tjänsteförbunden</v>
      </c>
      <c r="C17" t="str">
        <f t="shared" si="1"/>
        <v>Ledarna</v>
      </c>
      <c r="D17" t="str">
        <f>"2025-03-31"</f>
        <v>2025-03-31</v>
      </c>
    </row>
    <row r="18" spans="1:4" x14ac:dyDescent="0.35">
      <c r="A18" t="str">
        <f>"Göta Kanal AB"</f>
        <v>Göta Kanal AB</v>
      </c>
      <c r="B18" t="str">
        <f t="shared" si="0"/>
        <v>Almega Tjänsteförbunden</v>
      </c>
      <c r="C18" t="str">
        <f t="shared" ref="C18:C24" si="2">"Seko, Service- och kommunikationsfacket"</f>
        <v>Seko, Service- och kommunikationsfacket</v>
      </c>
      <c r="D18" t="str">
        <f>"2025-03-31"</f>
        <v>2025-03-31</v>
      </c>
    </row>
    <row r="19" spans="1:4" x14ac:dyDescent="0.35">
      <c r="A19" t="str">
        <f>"Dalslands Kanal AB"</f>
        <v>Dalslands Kanal AB</v>
      </c>
      <c r="B19" t="str">
        <f t="shared" si="0"/>
        <v>Almega Tjänsteförbunden</v>
      </c>
      <c r="C19" t="str">
        <f t="shared" si="2"/>
        <v>Seko, Service- och kommunikationsfacket</v>
      </c>
      <c r="D19" t="str">
        <f>"2025-04-30"</f>
        <v>2025-04-30</v>
      </c>
    </row>
    <row r="20" spans="1:4" x14ac:dyDescent="0.35">
      <c r="A20" t="str">
        <f>"Järnvägsinfrastruktur"</f>
        <v>Järnvägsinfrastruktur</v>
      </c>
      <c r="B20" t="str">
        <f t="shared" si="0"/>
        <v>Almega Tjänsteförbunden</v>
      </c>
      <c r="C20" t="str">
        <f t="shared" si="2"/>
        <v>Seko, Service- och kommunikationsfacket</v>
      </c>
      <c r="D20" t="str">
        <f>"2025-04-30"</f>
        <v>2025-04-30</v>
      </c>
    </row>
    <row r="21" spans="1:4" x14ac:dyDescent="0.35">
      <c r="A21" t="str">
        <f>"Värdepapper"</f>
        <v>Värdepapper</v>
      </c>
      <c r="B21" t="str">
        <f t="shared" si="0"/>
        <v>Almega Tjänsteförbunden</v>
      </c>
      <c r="C21" t="str">
        <f t="shared" si="2"/>
        <v>Seko, Service- och kommunikationsfacket</v>
      </c>
      <c r="D21" t="str">
        <f>"2025-05-31"</f>
        <v>2025-05-31</v>
      </c>
    </row>
    <row r="22" spans="1:4" x14ac:dyDescent="0.35">
      <c r="A22" t="str">
        <f>"Fastigheter"</f>
        <v>Fastigheter</v>
      </c>
      <c r="B22" t="str">
        <f t="shared" si="0"/>
        <v>Almega Tjänsteförbunden</v>
      </c>
      <c r="C22" t="str">
        <f t="shared" si="2"/>
        <v>Seko, Service- och kommunikationsfacket</v>
      </c>
      <c r="D22" t="str">
        <f>"2025-05-31"</f>
        <v>2025-05-31</v>
      </c>
    </row>
    <row r="23" spans="1:4" x14ac:dyDescent="0.35">
      <c r="A23" t="str">
        <f>"Serviceentreprenad"</f>
        <v>Serviceentreprenad</v>
      </c>
      <c r="B23" t="str">
        <f t="shared" si="0"/>
        <v>Almega Tjänsteförbunden</v>
      </c>
      <c r="C23" t="str">
        <f t="shared" si="2"/>
        <v>Seko, Service- och kommunikationsfacket</v>
      </c>
      <c r="D23" t="str">
        <f>"2025-05-31"</f>
        <v>2025-05-31</v>
      </c>
    </row>
    <row r="24" spans="1:4" x14ac:dyDescent="0.35">
      <c r="A24" t="str">
        <f>"Kommunikation"</f>
        <v>Kommunikation</v>
      </c>
      <c r="B24" t="str">
        <f t="shared" si="0"/>
        <v>Almega Tjänsteförbunden</v>
      </c>
      <c r="C24" t="str">
        <f t="shared" si="2"/>
        <v>Seko, Service- och kommunikationsfacket</v>
      </c>
      <c r="D24" t="str">
        <f>"2025-07-31"</f>
        <v>2025-07-31</v>
      </c>
    </row>
    <row r="25" spans="1:4" x14ac:dyDescent="0.35">
      <c r="A25" t="str">
        <f>"Järnvägsinfrastruktur"</f>
        <v>Järnvägsinfrastruktur</v>
      </c>
      <c r="B25" t="str">
        <f t="shared" si="0"/>
        <v>Almega Tjänsteförbunden</v>
      </c>
      <c r="C25" t="str">
        <f>"SRAT"</f>
        <v>SRAT</v>
      </c>
      <c r="D25" t="str">
        <f>"2025-04-30"</f>
        <v>2025-04-30</v>
      </c>
    </row>
    <row r="26" spans="1:4" x14ac:dyDescent="0.35">
      <c r="A26" t="str">
        <f>"Kommunikation"</f>
        <v>Kommunikation</v>
      </c>
      <c r="B26" t="str">
        <f t="shared" si="0"/>
        <v>Almega Tjänsteförbunden</v>
      </c>
      <c r="C26" t="str">
        <f>"SRAT"</f>
        <v>SRAT</v>
      </c>
      <c r="D26" t="str">
        <f>"2025-07-31"</f>
        <v>2025-07-31</v>
      </c>
    </row>
    <row r="27" spans="1:4" x14ac:dyDescent="0.35">
      <c r="A27" t="str">
        <f>"Serviceentreprenad"</f>
        <v>Serviceentreprenad</v>
      </c>
      <c r="B27" t="str">
        <f t="shared" si="0"/>
        <v>Almega Tjänsteförbunden</v>
      </c>
      <c r="C27" t="str">
        <f>"Svenska Kommunalarbetareförbundet"</f>
        <v>Svenska Kommunalarbetareförbundet</v>
      </c>
      <c r="D27" t="str">
        <f>"2025-08-31"</f>
        <v>2025-08-31</v>
      </c>
    </row>
    <row r="28" spans="1:4" x14ac:dyDescent="0.35">
      <c r="A28" t="str">
        <f>"Hemserviceföretag"</f>
        <v>Hemserviceföretag</v>
      </c>
      <c r="B28" t="str">
        <f t="shared" si="0"/>
        <v>Almega Tjänsteförbunden</v>
      </c>
      <c r="C28" t="str">
        <f>"Svenska Kommunalarbetareförbundet"</f>
        <v>Svenska Kommunalarbetareförbundet</v>
      </c>
      <c r="D28" t="str">
        <f>"2025-09-30"</f>
        <v>2025-09-30</v>
      </c>
    </row>
    <row r="29" spans="1:4" x14ac:dyDescent="0.35">
      <c r="A29" t="str">
        <f>"Apotek"</f>
        <v>Apotek</v>
      </c>
      <c r="B29" t="str">
        <f t="shared" si="0"/>
        <v>Almega Tjänsteförbunden</v>
      </c>
      <c r="C29" t="str">
        <f>"Sveriges Farmaceuter"</f>
        <v>Sveriges Farmaceuter</v>
      </c>
      <c r="D29" t="str">
        <f>"2025-04-30"</f>
        <v>2025-04-30</v>
      </c>
    </row>
    <row r="30" spans="1:4" x14ac:dyDescent="0.35">
      <c r="A30" t="str">
        <f>"Utbildningsföretagen"</f>
        <v>Utbildningsföretagen</v>
      </c>
      <c r="B30" t="str">
        <f t="shared" si="0"/>
        <v>Almega Tjänsteförbunden</v>
      </c>
      <c r="C30" t="str">
        <f t="shared" ref="C30:C36" si="3">"Sveriges Ingenjörer"</f>
        <v>Sveriges Ingenjörer</v>
      </c>
      <c r="D30" t="str">
        <f>"2025-03-31"</f>
        <v>2025-03-31</v>
      </c>
    </row>
    <row r="31" spans="1:4" x14ac:dyDescent="0.35">
      <c r="A31" t="str">
        <f>"Utveckling och tjänster"</f>
        <v>Utveckling och tjänster</v>
      </c>
      <c r="B31" t="str">
        <f t="shared" si="0"/>
        <v>Almega Tjänsteförbunden</v>
      </c>
      <c r="C31" t="str">
        <f t="shared" si="3"/>
        <v>Sveriges Ingenjörer</v>
      </c>
      <c r="D31" t="str">
        <f>"2025-04-30"</f>
        <v>2025-04-30</v>
      </c>
    </row>
    <row r="32" spans="1:4" x14ac:dyDescent="0.35">
      <c r="A32" t="str">
        <f>"Apotek"</f>
        <v>Apotek</v>
      </c>
      <c r="B32" t="str">
        <f t="shared" si="0"/>
        <v>Almega Tjänsteförbunden</v>
      </c>
      <c r="C32" t="str">
        <f t="shared" si="3"/>
        <v>Sveriges Ingenjörer</v>
      </c>
      <c r="D32" t="str">
        <f>"2025-04-30"</f>
        <v>2025-04-30</v>
      </c>
    </row>
    <row r="33" spans="1:4" x14ac:dyDescent="0.35">
      <c r="A33" t="str">
        <f>"Järnvägsinfrastruktur"</f>
        <v>Järnvägsinfrastruktur</v>
      </c>
      <c r="B33" t="str">
        <f t="shared" si="0"/>
        <v>Almega Tjänsteförbunden</v>
      </c>
      <c r="C33" t="str">
        <f t="shared" si="3"/>
        <v>Sveriges Ingenjörer</v>
      </c>
      <c r="D33" t="str">
        <f>"2025-04-30"</f>
        <v>2025-04-30</v>
      </c>
    </row>
    <row r="34" spans="1:4" x14ac:dyDescent="0.35">
      <c r="A34" t="str">
        <f>"Fastigheter"</f>
        <v>Fastigheter</v>
      </c>
      <c r="B34" t="str">
        <f t="shared" si="0"/>
        <v>Almega Tjänsteförbunden</v>
      </c>
      <c r="C34" t="str">
        <f t="shared" si="3"/>
        <v>Sveriges Ingenjörer</v>
      </c>
      <c r="D34" t="str">
        <f>"2025-05-31"</f>
        <v>2025-05-31</v>
      </c>
    </row>
    <row r="35" spans="1:4" x14ac:dyDescent="0.35">
      <c r="A35" t="str">
        <f>"Spel och internationella kasinon"</f>
        <v>Spel och internationella kasinon</v>
      </c>
      <c r="B35" t="str">
        <f t="shared" si="0"/>
        <v>Almega Tjänsteförbunden</v>
      </c>
      <c r="C35" t="str">
        <f t="shared" si="3"/>
        <v>Sveriges Ingenjörer</v>
      </c>
      <c r="D35" t="str">
        <f>"2025-06-30"</f>
        <v>2025-06-30</v>
      </c>
    </row>
    <row r="36" spans="1:4" x14ac:dyDescent="0.35">
      <c r="A36" t="str">
        <f>"Kommunikation"</f>
        <v>Kommunikation</v>
      </c>
      <c r="B36" t="str">
        <f t="shared" si="0"/>
        <v>Almega Tjänsteförbunden</v>
      </c>
      <c r="C36" t="str">
        <f t="shared" si="3"/>
        <v>Sveriges Ingenjörer</v>
      </c>
      <c r="D36" t="str">
        <f>"2025-07-31"</f>
        <v>2025-07-31</v>
      </c>
    </row>
    <row r="37" spans="1:4" x14ac:dyDescent="0.35">
      <c r="A37" t="str">
        <f>"Utveckling och tjänster"</f>
        <v>Utveckling och tjänster</v>
      </c>
      <c r="B37" t="str">
        <f t="shared" si="0"/>
        <v>Almega Tjänsteförbunden</v>
      </c>
      <c r="C37" t="str">
        <f t="shared" ref="C37:C43" si="4">"Unionen"</f>
        <v>Unionen</v>
      </c>
      <c r="D37" t="str">
        <f>"2025-03-31"</f>
        <v>2025-03-31</v>
      </c>
    </row>
    <row r="38" spans="1:4" x14ac:dyDescent="0.35">
      <c r="A38" t="str">
        <f>"Almega Tjänsteförbunden, Serviceföretagen Tjänstemannaavtal"</f>
        <v>Almega Tjänsteförbunden, Serviceföretagen Tjänstemannaavtal</v>
      </c>
      <c r="B38" t="str">
        <f t="shared" si="0"/>
        <v>Almega Tjänsteförbunden</v>
      </c>
      <c r="C38" t="str">
        <f t="shared" si="4"/>
        <v>Unionen</v>
      </c>
      <c r="D38" t="str">
        <f>"2025-03-31"</f>
        <v>2025-03-31</v>
      </c>
    </row>
    <row r="39" spans="1:4" x14ac:dyDescent="0.35">
      <c r="A39" t="str">
        <f>"Utbildningsföretagen"</f>
        <v>Utbildningsföretagen</v>
      </c>
      <c r="B39" t="str">
        <f t="shared" si="0"/>
        <v>Almega Tjänsteförbunden</v>
      </c>
      <c r="C39" t="str">
        <f t="shared" si="4"/>
        <v>Unionen</v>
      </c>
      <c r="D39" t="str">
        <f>"2025-03-31"</f>
        <v>2025-03-31</v>
      </c>
    </row>
    <row r="40" spans="1:4" x14ac:dyDescent="0.35">
      <c r="A40" t="str">
        <f>"Apotek"</f>
        <v>Apotek</v>
      </c>
      <c r="B40" t="str">
        <f t="shared" si="0"/>
        <v>Almega Tjänsteförbunden</v>
      </c>
      <c r="C40" t="str">
        <f t="shared" si="4"/>
        <v>Unionen</v>
      </c>
      <c r="D40" t="str">
        <f>"2025-04-30"</f>
        <v>2025-04-30</v>
      </c>
    </row>
    <row r="41" spans="1:4" x14ac:dyDescent="0.35">
      <c r="A41" t="str">
        <f>"Lagring och Distribution"</f>
        <v>Lagring och Distribution</v>
      </c>
      <c r="B41" t="str">
        <f t="shared" si="0"/>
        <v>Almega Tjänsteförbunden</v>
      </c>
      <c r="C41" t="str">
        <f t="shared" si="4"/>
        <v>Unionen</v>
      </c>
      <c r="D41" t="str">
        <f>"2025-04-30"</f>
        <v>2025-04-30</v>
      </c>
    </row>
    <row r="42" spans="1:4" x14ac:dyDescent="0.35">
      <c r="A42" t="str">
        <f>"Fastigheter"</f>
        <v>Fastigheter</v>
      </c>
      <c r="B42" t="str">
        <f t="shared" si="0"/>
        <v>Almega Tjänsteförbunden</v>
      </c>
      <c r="C42" t="str">
        <f t="shared" si="4"/>
        <v>Unionen</v>
      </c>
      <c r="D42" t="str">
        <f>"2025-05-31"</f>
        <v>2025-05-31</v>
      </c>
    </row>
    <row r="43" spans="1:4" x14ac:dyDescent="0.35">
      <c r="A43" t="str">
        <f>"Spel och internationella kasinon"</f>
        <v>Spel och internationella kasinon</v>
      </c>
      <c r="B43" t="str">
        <f t="shared" si="0"/>
        <v>Almega Tjänsteförbunden</v>
      </c>
      <c r="C43" t="str">
        <f t="shared" si="4"/>
        <v>Unionen</v>
      </c>
      <c r="D43" t="str">
        <f>"2025-06-30"</f>
        <v>2025-06-30</v>
      </c>
    </row>
    <row r="44" spans="1:4" x14ac:dyDescent="0.35">
      <c r="A44" t="str">
        <f>"Tjänstemän i tjänste- och Medieföretag"</f>
        <v>Tjänstemän i tjänste- och Medieföretag</v>
      </c>
      <c r="B44" t="str">
        <f t="shared" ref="B44:B67" si="5">"Almega Tjänsteföretagen"</f>
        <v>Almega Tjänsteföretagen</v>
      </c>
      <c r="C44" t="str">
        <f>"Akademikerförbunden"</f>
        <v>Akademikerförbunden</v>
      </c>
      <c r="D44" t="str">
        <f>"2025-04-30"</f>
        <v>2025-04-30</v>
      </c>
    </row>
    <row r="45" spans="1:4" x14ac:dyDescent="0.35">
      <c r="A45" t="str">
        <f>"Revisions- och konsultföretag"</f>
        <v>Revisions- och konsultföretag</v>
      </c>
      <c r="B45" t="str">
        <f t="shared" si="5"/>
        <v>Almega Tjänsteföretagen</v>
      </c>
      <c r="C45" t="str">
        <f>"Akademikerförbunden"</f>
        <v>Akademikerförbunden</v>
      </c>
      <c r="D45" t="str">
        <f>"2025-12-31"</f>
        <v>2025-12-31</v>
      </c>
    </row>
    <row r="46" spans="1:4" x14ac:dyDescent="0.35">
      <c r="A46" t="str">
        <f>"Juristavtalet - advokat- och juristbyråer"</f>
        <v>Juristavtalet - advokat- och juristbyråer</v>
      </c>
      <c r="B46" t="str">
        <f t="shared" si="5"/>
        <v>Almega Tjänsteföretagen</v>
      </c>
      <c r="C46" t="str">
        <f>"Akavia"</f>
        <v>Akavia</v>
      </c>
      <c r="D46" t="str">
        <f>"2025-04-30"</f>
        <v>2025-04-30</v>
      </c>
    </row>
    <row r="47" spans="1:4" x14ac:dyDescent="0.35">
      <c r="A47" t="str">
        <f>"Städning i egen regi"</f>
        <v>Städning i egen regi</v>
      </c>
      <c r="B47" t="str">
        <f t="shared" si="5"/>
        <v>Almega Tjänsteföretagen</v>
      </c>
      <c r="C47" t="str">
        <f>"Fastighetsanställdas Förbund"</f>
        <v>Fastighetsanställdas Förbund</v>
      </c>
      <c r="D47" t="str">
        <f>"2025-10-31"</f>
        <v>2025-10-31</v>
      </c>
    </row>
    <row r="48" spans="1:4" x14ac:dyDescent="0.35">
      <c r="A48" t="str">
        <f>"Fryshusföretag"</f>
        <v>Fryshusföretag</v>
      </c>
      <c r="B48" t="str">
        <f t="shared" si="5"/>
        <v>Almega Tjänsteföretagen</v>
      </c>
      <c r="C48" t="str">
        <f>"Handelsanställdas förbund"</f>
        <v>Handelsanställdas förbund</v>
      </c>
      <c r="D48" t="str">
        <f>"2025-03-31"</f>
        <v>2025-03-31</v>
      </c>
    </row>
    <row r="49" spans="1:4" x14ac:dyDescent="0.35">
      <c r="A49" t="str">
        <f>"Lagerpersonal och chaufförer"</f>
        <v>Lagerpersonal och chaufförer</v>
      </c>
      <c r="B49" t="str">
        <f t="shared" si="5"/>
        <v>Almega Tjänsteföretagen</v>
      </c>
      <c r="C49" t="str">
        <f>"Handelsanställdas förbund"</f>
        <v>Handelsanställdas förbund</v>
      </c>
      <c r="D49" t="str">
        <f>"2025-03-31"</f>
        <v>2025-03-31</v>
      </c>
    </row>
    <row r="50" spans="1:4" x14ac:dyDescent="0.35">
      <c r="A50" t="str">
        <f>"Bowlinganläggningar"</f>
        <v>Bowlinganläggningar</v>
      </c>
      <c r="B50" t="str">
        <f t="shared" si="5"/>
        <v>Almega Tjänsteföretagen</v>
      </c>
      <c r="C50" t="str">
        <f>"Hotell- och Restaurangfacket"</f>
        <v>Hotell- och Restaurangfacket</v>
      </c>
      <c r="D50" t="str">
        <f>"2025-05-31"</f>
        <v>2025-05-31</v>
      </c>
    </row>
    <row r="51" spans="1:4" x14ac:dyDescent="0.35">
      <c r="A51" t="str">
        <f>"Bingopersonal"</f>
        <v>Bingopersonal</v>
      </c>
      <c r="B51" t="str">
        <f t="shared" si="5"/>
        <v>Almega Tjänsteföretagen</v>
      </c>
      <c r="C51" t="str">
        <f>"Hotell- och Restaurangfacket"</f>
        <v>Hotell- och Restaurangfacket</v>
      </c>
      <c r="D51" t="str">
        <f>"2025-11-30"</f>
        <v>2025-11-30</v>
      </c>
    </row>
    <row r="52" spans="1:4" x14ac:dyDescent="0.35">
      <c r="A52" t="str">
        <f>"Skärgård Bransch Turism och Sjöfart"</f>
        <v>Skärgård Bransch Turism och Sjöfart</v>
      </c>
      <c r="B52" t="str">
        <f t="shared" si="5"/>
        <v>Almega Tjänsteföretagen</v>
      </c>
      <c r="C52" t="str">
        <f>"Seko, Service- och kommunikationsfacket"</f>
        <v>Seko, Service- och kommunikationsfacket</v>
      </c>
      <c r="D52" t="str">
        <f>"2025-09-30"</f>
        <v>2025-09-30</v>
      </c>
    </row>
    <row r="53" spans="1:4" x14ac:dyDescent="0.35">
      <c r="A53" t="str">
        <f>"Turism och sjöfart"</f>
        <v>Turism och sjöfart</v>
      </c>
      <c r="B53" t="str">
        <f t="shared" si="5"/>
        <v>Almega Tjänsteföretagen</v>
      </c>
      <c r="C53" t="str">
        <f>"Sjöbefälsföreningen"</f>
        <v>Sjöbefälsföreningen</v>
      </c>
      <c r="D53" t="str">
        <f>"2024-12-31"</f>
        <v>2024-12-31</v>
      </c>
    </row>
    <row r="54" spans="1:4" x14ac:dyDescent="0.35">
      <c r="A54" t="str">
        <f>"Gym- och friskvårdsanläggningar"</f>
        <v>Gym- och friskvårdsanläggningar</v>
      </c>
      <c r="B54" t="str">
        <f t="shared" si="5"/>
        <v>Almega Tjänsteföretagen</v>
      </c>
      <c r="C54" t="str">
        <f>"SRAT"</f>
        <v>SRAT</v>
      </c>
      <c r="D54" t="str">
        <f>"2025-08-31"</f>
        <v>2025-08-31</v>
      </c>
    </row>
    <row r="55" spans="1:4" x14ac:dyDescent="0.35">
      <c r="A55" t="str">
        <f>"Banarbetare vid travbanor"</f>
        <v>Banarbetare vid travbanor</v>
      </c>
      <c r="B55" t="str">
        <f t="shared" si="5"/>
        <v>Almega Tjänsteföretagen</v>
      </c>
      <c r="C55" t="str">
        <f>"Svenska Kommunalarbetareförbundet"</f>
        <v>Svenska Kommunalarbetareförbundet</v>
      </c>
      <c r="D55" t="str">
        <f>"2025-05-31"</f>
        <v>2025-05-31</v>
      </c>
    </row>
    <row r="56" spans="1:4" x14ac:dyDescent="0.35">
      <c r="A56" t="str">
        <f>"Stallpersonal hos travtränare"</f>
        <v>Stallpersonal hos travtränare</v>
      </c>
      <c r="B56" t="str">
        <f t="shared" si="5"/>
        <v>Almega Tjänsteföretagen</v>
      </c>
      <c r="C56" t="str">
        <f>"Svenska Kommunalarbetareförbundet"</f>
        <v>Svenska Kommunalarbetareförbundet</v>
      </c>
      <c r="D56" t="str">
        <f>"2025-05-31"</f>
        <v>2025-05-31</v>
      </c>
    </row>
    <row r="57" spans="1:4" x14ac:dyDescent="0.35">
      <c r="A57" t="str">
        <f>"Ridhusföretag"</f>
        <v>Ridhusföretag</v>
      </c>
      <c r="B57" t="str">
        <f t="shared" si="5"/>
        <v>Almega Tjänsteföretagen</v>
      </c>
      <c r="C57" t="str">
        <f>"Svenska Kommunalarbetareförbundet"</f>
        <v>Svenska Kommunalarbetareförbundet</v>
      </c>
      <c r="D57" t="str">
        <f>"2025-05-31"</f>
        <v>2025-05-31</v>
      </c>
    </row>
    <row r="58" spans="1:4" x14ac:dyDescent="0.35">
      <c r="A58" t="str">
        <f>"Arenor, bad och idrottsanläggningar"</f>
        <v>Arenor, bad och idrottsanläggningar</v>
      </c>
      <c r="B58" t="str">
        <f t="shared" si="5"/>
        <v>Almega Tjänsteföretagen</v>
      </c>
      <c r="C58" t="str">
        <f>"Svenska Kommunalarbetareförbundet"</f>
        <v>Svenska Kommunalarbetareförbundet</v>
      </c>
      <c r="D58" t="str">
        <f>"2025-06-30"</f>
        <v>2025-06-30</v>
      </c>
    </row>
    <row r="59" spans="1:4" x14ac:dyDescent="0.35">
      <c r="A59" t="str">
        <f>"Friskolor"</f>
        <v>Friskolor</v>
      </c>
      <c r="B59" t="str">
        <f t="shared" si="5"/>
        <v>Almega Tjänsteföretagen</v>
      </c>
      <c r="C59" t="str">
        <f>"Svenska Kommunalarbetareförbundet"</f>
        <v>Svenska Kommunalarbetareförbundet</v>
      </c>
      <c r="D59" t="str">
        <f>"2025-10-31"</f>
        <v>2025-10-31</v>
      </c>
    </row>
    <row r="60" spans="1:4" x14ac:dyDescent="0.35">
      <c r="A60" t="str">
        <f>"Terminalarbete"</f>
        <v>Terminalarbete</v>
      </c>
      <c r="B60" t="str">
        <f t="shared" si="5"/>
        <v>Almega Tjänsteföretagen</v>
      </c>
      <c r="C60" t="str">
        <f>"Svenska Transportarbetareförbundet"</f>
        <v>Svenska Transportarbetareförbundet</v>
      </c>
      <c r="D60" t="str">
        <f>"2023-04-30"</f>
        <v>2023-04-30</v>
      </c>
    </row>
    <row r="61" spans="1:4" x14ac:dyDescent="0.35">
      <c r="A61" t="str">
        <f>"Bilvård"</f>
        <v>Bilvård</v>
      </c>
      <c r="B61" t="str">
        <f t="shared" si="5"/>
        <v>Almega Tjänsteföretagen</v>
      </c>
      <c r="C61" t="str">
        <f>"Svenska Transportarbetareförbundet"</f>
        <v>Svenska Transportarbetareförbundet</v>
      </c>
      <c r="D61" t="str">
        <f>"2025-06-30"</f>
        <v>2025-06-30</v>
      </c>
    </row>
    <row r="62" spans="1:4" x14ac:dyDescent="0.35">
      <c r="A62" t="str">
        <f>"Friskolor"</f>
        <v>Friskolor</v>
      </c>
      <c r="B62" t="str">
        <f t="shared" si="5"/>
        <v>Almega Tjänsteföretagen</v>
      </c>
      <c r="C62" t="str">
        <f>"Sveriges Lärare"</f>
        <v>Sveriges Lärare</v>
      </c>
      <c r="D62" t="str">
        <f>"2025-08-31"</f>
        <v>2025-08-31</v>
      </c>
    </row>
    <row r="63" spans="1:4" x14ac:dyDescent="0.35">
      <c r="A63" t="str">
        <f>"Tjänstemän i tjänste- och Medieföretag"</f>
        <v>Tjänstemän i tjänste- och Medieföretag</v>
      </c>
      <c r="B63" t="str">
        <f t="shared" si="5"/>
        <v>Almega Tjänsteföretagen</v>
      </c>
      <c r="C63" t="str">
        <f>"Unionen"</f>
        <v>Unionen</v>
      </c>
      <c r="D63" t="str">
        <f>"2025-04-30"</f>
        <v>2025-04-30</v>
      </c>
    </row>
    <row r="64" spans="1:4" x14ac:dyDescent="0.35">
      <c r="A64" t="str">
        <f>"Gym- och friskvårdsanläggningar"</f>
        <v>Gym- och friskvårdsanläggningar</v>
      </c>
      <c r="B64" t="str">
        <f t="shared" si="5"/>
        <v>Almega Tjänsteföretagen</v>
      </c>
      <c r="C64" t="str">
        <f>"Unionen"</f>
        <v>Unionen</v>
      </c>
      <c r="D64" t="str">
        <f>"2025-08-31"</f>
        <v>2025-08-31</v>
      </c>
    </row>
    <row r="65" spans="1:4" x14ac:dyDescent="0.35">
      <c r="A65" t="str">
        <f>"Call/contactcenter- och marknadsundersökningsföretag"</f>
        <v>Call/contactcenter- och marknadsundersökningsföretag</v>
      </c>
      <c r="B65" t="str">
        <f t="shared" si="5"/>
        <v>Almega Tjänsteföretagen</v>
      </c>
      <c r="C65" t="str">
        <f>"Unionen"</f>
        <v>Unionen</v>
      </c>
      <c r="D65" t="str">
        <f>"2025-10-31"</f>
        <v>2025-10-31</v>
      </c>
    </row>
    <row r="66" spans="1:4" x14ac:dyDescent="0.35">
      <c r="A66" t="str">
        <f>"Revisions- och konsultföretag"</f>
        <v>Revisions- och konsultföretag</v>
      </c>
      <c r="B66" t="str">
        <f t="shared" si="5"/>
        <v>Almega Tjänsteföretagen</v>
      </c>
      <c r="C66" t="str">
        <f>"Unionen"</f>
        <v>Unionen</v>
      </c>
      <c r="D66" t="str">
        <f>"2025-12-31"</f>
        <v>2025-12-31</v>
      </c>
    </row>
    <row r="67" spans="1:4" x14ac:dyDescent="0.35">
      <c r="A67" t="str">
        <f>"Friskolor"</f>
        <v>Friskolor</v>
      </c>
      <c r="B67" t="str">
        <f t="shared" si="5"/>
        <v>Almega Tjänsteföretagen</v>
      </c>
      <c r="C67" t="str">
        <f>"Vision"</f>
        <v>Vision</v>
      </c>
      <c r="D67" t="str">
        <f>""</f>
        <v/>
      </c>
    </row>
    <row r="68" spans="1:4" x14ac:dyDescent="0.35">
      <c r="A68" t="str">
        <f>"Ideella och idéburna organisationer"</f>
        <v>Ideella och idéburna organisationer</v>
      </c>
      <c r="B68" t="str">
        <f t="shared" ref="B68:B110" si="6">"Arbetsgivaralliansen"</f>
        <v>Arbetsgivaralliansen</v>
      </c>
      <c r="C68" t="str">
        <f t="shared" ref="C68:C75" si="7">"Akademikerförbunden"</f>
        <v>Akademikerförbunden</v>
      </c>
      <c r="D68" t="str">
        <f>"2025-04-30"</f>
        <v>2025-04-30</v>
      </c>
    </row>
    <row r="69" spans="1:4" x14ac:dyDescent="0.35">
      <c r="A69" t="str">
        <f>"Upplevelse och kultur"</f>
        <v>Upplevelse och kultur</v>
      </c>
      <c r="B69" t="str">
        <f t="shared" si="6"/>
        <v>Arbetsgivaralliansen</v>
      </c>
      <c r="C69" t="str">
        <f t="shared" si="7"/>
        <v>Akademikerförbunden</v>
      </c>
      <c r="D69" t="str">
        <f>"2025-04-30"</f>
        <v>2025-04-30</v>
      </c>
    </row>
    <row r="70" spans="1:4" x14ac:dyDescent="0.35">
      <c r="A70" t="str">
        <f>"Skola/utbildning"</f>
        <v>Skola/utbildning</v>
      </c>
      <c r="B70" t="str">
        <f t="shared" si="6"/>
        <v>Arbetsgivaralliansen</v>
      </c>
      <c r="C70" t="str">
        <f t="shared" si="7"/>
        <v>Akademikerförbunden</v>
      </c>
      <c r="D70" t="str">
        <f>"2025-04-30"</f>
        <v>2025-04-30</v>
      </c>
    </row>
    <row r="71" spans="1:4" x14ac:dyDescent="0.35">
      <c r="A71" t="str">
        <f>"Folkhögskolor"</f>
        <v>Folkhögskolor</v>
      </c>
      <c r="B71" t="str">
        <f t="shared" si="6"/>
        <v>Arbetsgivaralliansen</v>
      </c>
      <c r="C71" t="str">
        <f t="shared" si="7"/>
        <v>Akademikerförbunden</v>
      </c>
      <c r="D71" t="str">
        <f>"2025-04-30"</f>
        <v>2025-04-30</v>
      </c>
    </row>
    <row r="72" spans="1:4" x14ac:dyDescent="0.35">
      <c r="A72" t="str">
        <f>"Högskola"</f>
        <v>Högskola</v>
      </c>
      <c r="B72" t="str">
        <f t="shared" si="6"/>
        <v>Arbetsgivaralliansen</v>
      </c>
      <c r="C72" t="str">
        <f t="shared" si="7"/>
        <v>Akademikerförbunden</v>
      </c>
      <c r="D72" t="str">
        <f>"2025-06-30"</f>
        <v>2025-06-30</v>
      </c>
    </row>
    <row r="73" spans="1:4" x14ac:dyDescent="0.35">
      <c r="A73" t="str">
        <f>"Vård och omsorg"</f>
        <v>Vård och omsorg</v>
      </c>
      <c r="B73" t="str">
        <f t="shared" si="6"/>
        <v>Arbetsgivaralliansen</v>
      </c>
      <c r="C73" t="str">
        <f t="shared" si="7"/>
        <v>Akademikerförbunden</v>
      </c>
      <c r="D73" t="str">
        <f>"2025-09-30"</f>
        <v>2025-09-30</v>
      </c>
    </row>
    <row r="74" spans="1:4" x14ac:dyDescent="0.35">
      <c r="A74" t="str">
        <f>"Trossamfund och ekumeniska organisationer"</f>
        <v>Trossamfund och ekumeniska organisationer</v>
      </c>
      <c r="B74" t="str">
        <f t="shared" si="6"/>
        <v>Arbetsgivaralliansen</v>
      </c>
      <c r="C74" t="str">
        <f t="shared" si="7"/>
        <v>Akademikerförbunden</v>
      </c>
      <c r="D74" t="str">
        <f>"2025-09-30"</f>
        <v>2025-09-30</v>
      </c>
    </row>
    <row r="75" spans="1:4" x14ac:dyDescent="0.35">
      <c r="A75" t="str">
        <f>"Idrottsavtalet"</f>
        <v>Idrottsavtalet</v>
      </c>
      <c r="B75" t="str">
        <f t="shared" si="6"/>
        <v>Arbetsgivaralliansen</v>
      </c>
      <c r="C75" t="str">
        <f t="shared" si="7"/>
        <v>Akademikerförbunden</v>
      </c>
      <c r="D75" t="str">
        <f>"2025-10-31"</f>
        <v>2025-10-31</v>
      </c>
    </row>
    <row r="76" spans="1:4" x14ac:dyDescent="0.35">
      <c r="A76" t="str">
        <f>"Högskola"</f>
        <v>Högskola</v>
      </c>
      <c r="B76" t="str">
        <f t="shared" si="6"/>
        <v>Arbetsgivaralliansen</v>
      </c>
      <c r="C76" t="str">
        <f>"Fackförbundet ST"</f>
        <v>Fackförbundet ST</v>
      </c>
      <c r="D76" t="str">
        <f>"2025-06-30"</f>
        <v>2025-06-30</v>
      </c>
    </row>
    <row r="77" spans="1:4" x14ac:dyDescent="0.35">
      <c r="A77" t="str">
        <f>"Ideella och idéburna organisationer"</f>
        <v>Ideella och idéburna organisationer</v>
      </c>
      <c r="B77" t="str">
        <f t="shared" si="6"/>
        <v>Arbetsgivaralliansen</v>
      </c>
      <c r="C77" t="str">
        <f>"Fastighetsanställdas Förbund"</f>
        <v>Fastighetsanställdas Förbund</v>
      </c>
      <c r="D77" t="str">
        <f>"2025-04-30"</f>
        <v>2025-04-30</v>
      </c>
    </row>
    <row r="78" spans="1:4" x14ac:dyDescent="0.35">
      <c r="A78" t="str">
        <f>"Idrottsavtalet"</f>
        <v>Idrottsavtalet</v>
      </c>
      <c r="B78" t="str">
        <f t="shared" si="6"/>
        <v>Arbetsgivaralliansen</v>
      </c>
      <c r="C78" t="str">
        <f>"Fastighetsanställdas Förbund"</f>
        <v>Fastighetsanställdas Förbund</v>
      </c>
      <c r="D78" t="str">
        <f>"2025-10-31"</f>
        <v>2025-10-31</v>
      </c>
    </row>
    <row r="79" spans="1:4" x14ac:dyDescent="0.35">
      <c r="A79" t="str">
        <f>"Gröna riksen (Visita)"</f>
        <v>Gröna riksen (Visita)</v>
      </c>
      <c r="B79" t="str">
        <f t="shared" si="6"/>
        <v>Arbetsgivaralliansen</v>
      </c>
      <c r="C79" t="str">
        <f>"Hotell- och Restaurangfacket"</f>
        <v>Hotell- och Restaurangfacket</v>
      </c>
      <c r="D79" t="str">
        <f>"2025-03-31"</f>
        <v>2025-03-31</v>
      </c>
    </row>
    <row r="80" spans="1:4" x14ac:dyDescent="0.35">
      <c r="A80" t="str">
        <f>"Upplevelse och kultur"</f>
        <v>Upplevelse och kultur</v>
      </c>
      <c r="B80" t="str">
        <f t="shared" si="6"/>
        <v>Arbetsgivaralliansen</v>
      </c>
      <c r="C80" t="str">
        <f t="shared" ref="C80:C87" si="8">"Ledarna"</f>
        <v>Ledarna</v>
      </c>
      <c r="D80" t="str">
        <f>""</f>
        <v/>
      </c>
    </row>
    <row r="81" spans="1:4" x14ac:dyDescent="0.35">
      <c r="A81" t="str">
        <f>"Ideella och Idéburna organisationer"</f>
        <v>Ideella och Idéburna organisationer</v>
      </c>
      <c r="B81" t="str">
        <f t="shared" si="6"/>
        <v>Arbetsgivaralliansen</v>
      </c>
      <c r="C81" t="str">
        <f t="shared" si="8"/>
        <v>Ledarna</v>
      </c>
      <c r="D81" t="str">
        <f>""</f>
        <v/>
      </c>
    </row>
    <row r="82" spans="1:4" x14ac:dyDescent="0.35">
      <c r="A82" t="str">
        <f>"Trossamfund och ekumeniska organisationer"</f>
        <v>Trossamfund och ekumeniska organisationer</v>
      </c>
      <c r="B82" t="str">
        <f t="shared" si="6"/>
        <v>Arbetsgivaralliansen</v>
      </c>
      <c r="C82" t="str">
        <f t="shared" si="8"/>
        <v>Ledarna</v>
      </c>
      <c r="D82" t="str">
        <f>""</f>
        <v/>
      </c>
    </row>
    <row r="83" spans="1:4" x14ac:dyDescent="0.35">
      <c r="A83" t="str">
        <f>"Skola/utbildning"</f>
        <v>Skola/utbildning</v>
      </c>
      <c r="B83" t="str">
        <f t="shared" si="6"/>
        <v>Arbetsgivaralliansen</v>
      </c>
      <c r="C83" t="str">
        <f t="shared" si="8"/>
        <v>Ledarna</v>
      </c>
      <c r="D83" t="str">
        <f>"2025-04-30"</f>
        <v>2025-04-30</v>
      </c>
    </row>
    <row r="84" spans="1:4" x14ac:dyDescent="0.35">
      <c r="A84" t="str">
        <f>"Folkhögskolor"</f>
        <v>Folkhögskolor</v>
      </c>
      <c r="B84" t="str">
        <f t="shared" si="6"/>
        <v>Arbetsgivaralliansen</v>
      </c>
      <c r="C84" t="str">
        <f t="shared" si="8"/>
        <v>Ledarna</v>
      </c>
      <c r="D84" t="str">
        <f>"2025-04-30"</f>
        <v>2025-04-30</v>
      </c>
    </row>
    <row r="85" spans="1:4" x14ac:dyDescent="0.35">
      <c r="A85" t="str">
        <f>"Högskola"</f>
        <v>Högskola</v>
      </c>
      <c r="B85" t="str">
        <f t="shared" si="6"/>
        <v>Arbetsgivaralliansen</v>
      </c>
      <c r="C85" t="str">
        <f t="shared" si="8"/>
        <v>Ledarna</v>
      </c>
      <c r="D85" t="str">
        <f>"2025-06-30"</f>
        <v>2025-06-30</v>
      </c>
    </row>
    <row r="86" spans="1:4" x14ac:dyDescent="0.35">
      <c r="A86" t="str">
        <f>"Vård och omsorg"</f>
        <v>Vård och omsorg</v>
      </c>
      <c r="B86" t="str">
        <f t="shared" si="6"/>
        <v>Arbetsgivaralliansen</v>
      </c>
      <c r="C86" t="str">
        <f t="shared" si="8"/>
        <v>Ledarna</v>
      </c>
      <c r="D86" t="str">
        <f>"2025-09-30"</f>
        <v>2025-09-30</v>
      </c>
    </row>
    <row r="87" spans="1:4" x14ac:dyDescent="0.35">
      <c r="A87" t="str">
        <f>"Idrott"</f>
        <v>Idrott</v>
      </c>
      <c r="B87" t="str">
        <f t="shared" si="6"/>
        <v>Arbetsgivaralliansen</v>
      </c>
      <c r="C87" t="str">
        <f t="shared" si="8"/>
        <v>Ledarna</v>
      </c>
      <c r="D87" t="str">
        <f>"2025-10-31"</f>
        <v>2025-10-31</v>
      </c>
    </row>
    <row r="88" spans="1:4" x14ac:dyDescent="0.35">
      <c r="A88" t="str">
        <f>"Högskola"</f>
        <v>Högskola</v>
      </c>
      <c r="B88" t="str">
        <f t="shared" si="6"/>
        <v>Arbetsgivaralliansen</v>
      </c>
      <c r="C88" t="str">
        <f>"SULF"</f>
        <v>SULF</v>
      </c>
      <c r="D88" t="str">
        <f>"2025-06-30"</f>
        <v>2025-06-30</v>
      </c>
    </row>
    <row r="89" spans="1:4" x14ac:dyDescent="0.35">
      <c r="A89" t="str">
        <f>"Skola/utbildning"</f>
        <v>Skola/utbildning</v>
      </c>
      <c r="B89" t="str">
        <f t="shared" si="6"/>
        <v>Arbetsgivaralliansen</v>
      </c>
      <c r="C89" t="str">
        <f>"Svenska Kommunalarbetareförbundet"</f>
        <v>Svenska Kommunalarbetareförbundet</v>
      </c>
      <c r="D89" t="str">
        <f>"2025-04-30"</f>
        <v>2025-04-30</v>
      </c>
    </row>
    <row r="90" spans="1:4" x14ac:dyDescent="0.35">
      <c r="A90" t="str">
        <f>"Folkhögskolor"</f>
        <v>Folkhögskolor</v>
      </c>
      <c r="B90" t="str">
        <f t="shared" si="6"/>
        <v>Arbetsgivaralliansen</v>
      </c>
      <c r="C90" t="str">
        <f>"Svenska Kommunalarbetareförbundet"</f>
        <v>Svenska Kommunalarbetareförbundet</v>
      </c>
      <c r="D90" t="str">
        <f>"2025-04-30"</f>
        <v>2025-04-30</v>
      </c>
    </row>
    <row r="91" spans="1:4" x14ac:dyDescent="0.35">
      <c r="A91" t="str">
        <f>"Vård och omsorg"</f>
        <v>Vård och omsorg</v>
      </c>
      <c r="B91" t="str">
        <f t="shared" si="6"/>
        <v>Arbetsgivaralliansen</v>
      </c>
      <c r="C91" t="str">
        <f>"Svenska Kommunalarbetareförbundet"</f>
        <v>Svenska Kommunalarbetareförbundet</v>
      </c>
      <c r="D91" t="str">
        <f>"2025-09-30"</f>
        <v>2025-09-30</v>
      </c>
    </row>
    <row r="92" spans="1:4" x14ac:dyDescent="0.35">
      <c r="A92" t="str">
        <f>"Trossamfund och ekumeniska organisationer"</f>
        <v>Trossamfund och ekumeniska organisationer</v>
      </c>
      <c r="B92" t="str">
        <f t="shared" si="6"/>
        <v>Arbetsgivaralliansen</v>
      </c>
      <c r="C92" t="str">
        <f>"Svenska Kommunalarbetareförbundet"</f>
        <v>Svenska Kommunalarbetareförbundet</v>
      </c>
      <c r="D92" t="str">
        <f>"2025-09-30"</f>
        <v>2025-09-30</v>
      </c>
    </row>
    <row r="93" spans="1:4" x14ac:dyDescent="0.35">
      <c r="A93" t="str">
        <f>"Idrottsavtalet (Rid- och Golfklubbar)"</f>
        <v>Idrottsavtalet (Rid- och Golfklubbar)</v>
      </c>
      <c r="B93" t="str">
        <f t="shared" si="6"/>
        <v>Arbetsgivaralliansen</v>
      </c>
      <c r="C93" t="str">
        <f>"Svenska Kommunalarbetareförbundet"</f>
        <v>Svenska Kommunalarbetareförbundet</v>
      </c>
      <c r="D93" t="str">
        <f>"2025-10-31"</f>
        <v>2025-10-31</v>
      </c>
    </row>
    <row r="94" spans="1:4" x14ac:dyDescent="0.35">
      <c r="A94" t="str">
        <f>"Vård och omsorg"</f>
        <v>Vård och omsorg</v>
      </c>
      <c r="B94" t="str">
        <f t="shared" si="6"/>
        <v>Arbetsgivaralliansen</v>
      </c>
      <c r="C94" t="str">
        <f>"Sveriges Läkarförbund"</f>
        <v>Sveriges Läkarförbund</v>
      </c>
      <c r="D94" t="str">
        <f>"2025-09-30"</f>
        <v>2025-09-30</v>
      </c>
    </row>
    <row r="95" spans="1:4" x14ac:dyDescent="0.35">
      <c r="A95" t="str">
        <f>"Skola/utbildning"</f>
        <v>Skola/utbildning</v>
      </c>
      <c r="B95" t="str">
        <f t="shared" si="6"/>
        <v>Arbetsgivaralliansen</v>
      </c>
      <c r="C95" t="str">
        <f>"Sveriges Lärare"</f>
        <v>Sveriges Lärare</v>
      </c>
      <c r="D95" t="str">
        <f>"2025-04-30"</f>
        <v>2025-04-30</v>
      </c>
    </row>
    <row r="96" spans="1:4" x14ac:dyDescent="0.35">
      <c r="A96" t="str">
        <f>"Folkhögskolor"</f>
        <v>Folkhögskolor</v>
      </c>
      <c r="B96" t="str">
        <f t="shared" si="6"/>
        <v>Arbetsgivaralliansen</v>
      </c>
      <c r="C96" t="str">
        <f>"Sveriges Lärare"</f>
        <v>Sveriges Lärare</v>
      </c>
      <c r="D96" t="str">
        <f>"2025-04-30"</f>
        <v>2025-04-30</v>
      </c>
    </row>
    <row r="97" spans="1:4" x14ac:dyDescent="0.35">
      <c r="A97" t="str">
        <f>"Högskola"</f>
        <v>Högskola</v>
      </c>
      <c r="B97" t="str">
        <f t="shared" si="6"/>
        <v>Arbetsgivaralliansen</v>
      </c>
      <c r="C97" t="str">
        <f>"Sveriges Lärare"</f>
        <v>Sveriges Lärare</v>
      </c>
      <c r="D97" t="str">
        <f>"2025-06-30"</f>
        <v>2025-06-30</v>
      </c>
    </row>
    <row r="98" spans="1:4" x14ac:dyDescent="0.35">
      <c r="A98" t="str">
        <f>"Ishockey - Allsvenskan"</f>
        <v>Ishockey - Allsvenskan</v>
      </c>
      <c r="B98" t="str">
        <f t="shared" si="6"/>
        <v>Arbetsgivaralliansen</v>
      </c>
      <c r="C98" t="str">
        <f t="shared" ref="C98:C104" si="9">"Unionen"</f>
        <v>Unionen</v>
      </c>
      <c r="D98" t="str">
        <f>"2016-04-30"</f>
        <v>2016-04-30</v>
      </c>
    </row>
    <row r="99" spans="1:4" x14ac:dyDescent="0.35">
      <c r="A99" t="str">
        <f>"Ishockey - Svenska Hockeyligan"</f>
        <v>Ishockey - Svenska Hockeyligan</v>
      </c>
      <c r="B99" t="str">
        <f t="shared" si="6"/>
        <v>Arbetsgivaralliansen</v>
      </c>
      <c r="C99" t="str">
        <f t="shared" si="9"/>
        <v>Unionen</v>
      </c>
      <c r="D99" t="str">
        <f>"2019-04-30"</f>
        <v>2019-04-30</v>
      </c>
    </row>
    <row r="100" spans="1:4" x14ac:dyDescent="0.35">
      <c r="A100" t="str">
        <f>"Fotbollsspelare"</f>
        <v>Fotbollsspelare</v>
      </c>
      <c r="B100" t="str">
        <f t="shared" si="6"/>
        <v>Arbetsgivaralliansen</v>
      </c>
      <c r="C100" t="str">
        <f t="shared" si="9"/>
        <v>Unionen</v>
      </c>
      <c r="D100" t="str">
        <f>"2019-12-31"</f>
        <v>2019-12-31</v>
      </c>
    </row>
    <row r="101" spans="1:4" x14ac:dyDescent="0.35">
      <c r="A101" t="str">
        <f>"Ideella och idéburna organisationer"</f>
        <v>Ideella och idéburna organisationer</v>
      </c>
      <c r="B101" t="str">
        <f t="shared" si="6"/>
        <v>Arbetsgivaralliansen</v>
      </c>
      <c r="C101" t="str">
        <f t="shared" si="9"/>
        <v>Unionen</v>
      </c>
      <c r="D101" t="str">
        <f>"2025-04-30"</f>
        <v>2025-04-30</v>
      </c>
    </row>
    <row r="102" spans="1:4" x14ac:dyDescent="0.35">
      <c r="A102" t="str">
        <f>"Upplevelse och kultur"</f>
        <v>Upplevelse och kultur</v>
      </c>
      <c r="B102" t="str">
        <f t="shared" si="6"/>
        <v>Arbetsgivaralliansen</v>
      </c>
      <c r="C102" t="str">
        <f t="shared" si="9"/>
        <v>Unionen</v>
      </c>
      <c r="D102" t="str">
        <f>"2025-04-30"</f>
        <v>2025-04-30</v>
      </c>
    </row>
    <row r="103" spans="1:4" x14ac:dyDescent="0.35">
      <c r="A103" t="str">
        <f>"Idrottsavtalet"</f>
        <v>Idrottsavtalet</v>
      </c>
      <c r="B103" t="str">
        <f t="shared" si="6"/>
        <v>Arbetsgivaralliansen</v>
      </c>
      <c r="C103" t="str">
        <f t="shared" si="9"/>
        <v>Unionen</v>
      </c>
      <c r="D103" t="str">
        <f>"2025-10-31"</f>
        <v>2025-10-31</v>
      </c>
    </row>
    <row r="104" spans="1:4" x14ac:dyDescent="0.35">
      <c r="A104" t="str">
        <f>"Fotbollsspelare i OBOS Damallsvenskan och Elitettan"</f>
        <v>Fotbollsspelare i OBOS Damallsvenskan och Elitettan</v>
      </c>
      <c r="B104" t="str">
        <f t="shared" si="6"/>
        <v>Arbetsgivaralliansen</v>
      </c>
      <c r="C104" t="str">
        <f t="shared" si="9"/>
        <v>Unionen</v>
      </c>
      <c r="D104" t="str">
        <f>"2026-11-30"</f>
        <v>2026-11-30</v>
      </c>
    </row>
    <row r="105" spans="1:4" x14ac:dyDescent="0.35">
      <c r="A105" t="str">
        <f>"Skola/utbildning"</f>
        <v>Skola/utbildning</v>
      </c>
      <c r="B105" t="str">
        <f t="shared" si="6"/>
        <v>Arbetsgivaralliansen</v>
      </c>
      <c r="C105" t="str">
        <f>"Vision"</f>
        <v>Vision</v>
      </c>
      <c r="D105" t="str">
        <f>"2025-04-30"</f>
        <v>2025-04-30</v>
      </c>
    </row>
    <row r="106" spans="1:4" x14ac:dyDescent="0.35">
      <c r="A106" t="str">
        <f>"Folkhögskolor"</f>
        <v>Folkhögskolor</v>
      </c>
      <c r="B106" t="str">
        <f t="shared" si="6"/>
        <v>Arbetsgivaralliansen</v>
      </c>
      <c r="C106" t="str">
        <f>"Vision"</f>
        <v>Vision</v>
      </c>
      <c r="D106" t="str">
        <f>"2025-04-30"</f>
        <v>2025-04-30</v>
      </c>
    </row>
    <row r="107" spans="1:4" x14ac:dyDescent="0.35">
      <c r="A107" t="str">
        <f>"Högskola"</f>
        <v>Högskola</v>
      </c>
      <c r="B107" t="str">
        <f t="shared" si="6"/>
        <v>Arbetsgivaralliansen</v>
      </c>
      <c r="C107" t="str">
        <f>"Vision"</f>
        <v>Vision</v>
      </c>
      <c r="D107" t="str">
        <f>"2025-06-30"</f>
        <v>2025-06-30</v>
      </c>
    </row>
    <row r="108" spans="1:4" x14ac:dyDescent="0.35">
      <c r="A108" t="str">
        <f>"Vård och omsorg"</f>
        <v>Vård och omsorg</v>
      </c>
      <c r="B108" t="str">
        <f t="shared" si="6"/>
        <v>Arbetsgivaralliansen</v>
      </c>
      <c r="C108" t="str">
        <f>"Vision"</f>
        <v>Vision</v>
      </c>
      <c r="D108" t="str">
        <f>"2025-09-30"</f>
        <v>2025-09-30</v>
      </c>
    </row>
    <row r="109" spans="1:4" x14ac:dyDescent="0.35">
      <c r="A109" t="str">
        <f>"Trossamfund och ekumeniska organisationer"</f>
        <v>Trossamfund och ekumeniska organisationer</v>
      </c>
      <c r="B109" t="str">
        <f t="shared" si="6"/>
        <v>Arbetsgivaralliansen</v>
      </c>
      <c r="C109" t="str">
        <f>"Vision"</f>
        <v>Vision</v>
      </c>
      <c r="D109" t="str">
        <f>"2025-09-30"</f>
        <v>2025-09-30</v>
      </c>
    </row>
    <row r="110" spans="1:4" x14ac:dyDescent="0.35">
      <c r="A110" t="str">
        <f>"Vård och omsorg"</f>
        <v>Vård och omsorg</v>
      </c>
      <c r="B110" t="str">
        <f t="shared" si="6"/>
        <v>Arbetsgivaralliansen</v>
      </c>
      <c r="C110" t="str">
        <f>"Vårdförbundet"</f>
        <v>Vårdförbundet</v>
      </c>
      <c r="D110" t="str">
        <f>"2025-09-30"</f>
        <v>2025-09-30</v>
      </c>
    </row>
    <row r="111" spans="1:4" x14ac:dyDescent="0.35">
      <c r="A111" t="str">
        <f>"RALS"</f>
        <v>RALS</v>
      </c>
      <c r="B111" t="str">
        <f>"Arbetsgivarverket"</f>
        <v>Arbetsgivarverket</v>
      </c>
      <c r="C111" t="str">
        <f>"OFR S,P,O"</f>
        <v>OFR S,P,O</v>
      </c>
      <c r="D111" t="str">
        <f>"2025-09-30"</f>
        <v>2025-09-30</v>
      </c>
    </row>
    <row r="112" spans="1:4" x14ac:dyDescent="0.35">
      <c r="A112" t="str">
        <f>"RALS"</f>
        <v>RALS</v>
      </c>
      <c r="B112" t="str">
        <f>"Arbetsgivarverket"</f>
        <v>Arbetsgivarverket</v>
      </c>
      <c r="C112" t="str">
        <f>"Saco-S"</f>
        <v>Saco-S</v>
      </c>
      <c r="D112" t="str">
        <f>""</f>
        <v/>
      </c>
    </row>
    <row r="113" spans="1:4" x14ac:dyDescent="0.35">
      <c r="A113" t="str">
        <f>"RALS"</f>
        <v>RALS</v>
      </c>
      <c r="B113" t="str">
        <f>"Arbetsgivarverket"</f>
        <v>Arbetsgivarverket</v>
      </c>
      <c r="C113" t="str">
        <f>"Seko, Service- och kommunikationsfacket"</f>
        <v>Seko, Service- och kommunikationsfacket</v>
      </c>
      <c r="D113" t="str">
        <f>"2025-09-30"</f>
        <v>2025-09-30</v>
      </c>
    </row>
    <row r="114" spans="1:4" x14ac:dyDescent="0.35">
      <c r="A114" t="str">
        <f>"Akademikeravtal"</f>
        <v>Akademikeravtal</v>
      </c>
      <c r="B114" t="str">
        <f>"BAO - Bankinstitutens Arbetsgivareorganisation"</f>
        <v>BAO - Bankinstitutens Arbetsgivareorganisation</v>
      </c>
      <c r="C114" t="str">
        <f>"Akavia"</f>
        <v>Akavia</v>
      </c>
      <c r="D114" t="str">
        <f>""</f>
        <v/>
      </c>
    </row>
    <row r="115" spans="1:4" x14ac:dyDescent="0.35">
      <c r="A115" t="str">
        <f>"Bankanställda"</f>
        <v>Bankanställda</v>
      </c>
      <c r="B115" t="str">
        <f>"BAO - Bankinstitutens Arbetsgivareorganisation"</f>
        <v>BAO - Bankinstitutens Arbetsgivareorganisation</v>
      </c>
      <c r="C115" t="str">
        <f>"Finansförbundet"</f>
        <v>Finansförbundet</v>
      </c>
      <c r="D115" t="str">
        <f>""</f>
        <v/>
      </c>
    </row>
    <row r="116" spans="1:4" x14ac:dyDescent="0.35">
      <c r="A116" t="str">
        <f>"Akademikeravtal"</f>
        <v>Akademikeravtal</v>
      </c>
      <c r="B116" t="str">
        <f>"BAO - Bankinstitutens Arbetsgivareorganisation"</f>
        <v>BAO - Bankinstitutens Arbetsgivareorganisation</v>
      </c>
      <c r="C116" t="str">
        <f>"Sveriges Ingenjörer"</f>
        <v>Sveriges Ingenjörer</v>
      </c>
      <c r="D116" t="str">
        <f>""</f>
        <v/>
      </c>
    </row>
    <row r="117" spans="1:4" x14ac:dyDescent="0.35">
      <c r="A117" t="str">
        <f>"Tjänstemannaavtal"</f>
        <v>Tjänstemannaavtal</v>
      </c>
      <c r="B117" t="str">
        <f t="shared" ref="B117:B125" si="10">"Biltrafikens Arbetsgivareförbund"</f>
        <v>Biltrafikens Arbetsgivareförbund</v>
      </c>
      <c r="C117" t="str">
        <f>"Ledarna"</f>
        <v>Ledarna</v>
      </c>
      <c r="D117" t="str">
        <f>""</f>
        <v/>
      </c>
    </row>
    <row r="118" spans="1:4" x14ac:dyDescent="0.35">
      <c r="A118" t="str">
        <f>"Transportavtalet"</f>
        <v>Transportavtalet</v>
      </c>
      <c r="B118" t="str">
        <f t="shared" si="10"/>
        <v>Biltrafikens Arbetsgivareförbund</v>
      </c>
      <c r="C118" t="str">
        <f t="shared" ref="C118:C123" si="11">"Svenska Transportarbetareförbundet"</f>
        <v>Svenska Transportarbetareförbundet</v>
      </c>
      <c r="D118" t="str">
        <f>"2025-03-31"</f>
        <v>2025-03-31</v>
      </c>
    </row>
    <row r="119" spans="1:4" x14ac:dyDescent="0.35">
      <c r="A119" t="str">
        <f>"Miljöarbetareavtalet"</f>
        <v>Miljöarbetareavtalet</v>
      </c>
      <c r="B119" t="str">
        <f t="shared" si="10"/>
        <v>Biltrafikens Arbetsgivareförbund</v>
      </c>
      <c r="C119" t="str">
        <f t="shared" si="11"/>
        <v>Svenska Transportarbetareförbundet</v>
      </c>
      <c r="D119" t="str">
        <f>"2025-03-31"</f>
        <v>2025-03-31</v>
      </c>
    </row>
    <row r="120" spans="1:4" x14ac:dyDescent="0.35">
      <c r="A120" t="str">
        <f>"Utlandsavtal"</f>
        <v>Utlandsavtal</v>
      </c>
      <c r="B120" t="str">
        <f t="shared" si="10"/>
        <v>Biltrafikens Arbetsgivareförbund</v>
      </c>
      <c r="C120" t="str">
        <f t="shared" si="11"/>
        <v>Svenska Transportarbetareförbundet</v>
      </c>
      <c r="D120" t="str">
        <f>"2025-03-31"</f>
        <v>2025-03-31</v>
      </c>
    </row>
    <row r="121" spans="1:4" x14ac:dyDescent="0.35">
      <c r="A121" t="str">
        <f>"Taxiavtal Telefonister"</f>
        <v>Taxiavtal Telefonister</v>
      </c>
      <c r="B121" t="str">
        <f t="shared" si="10"/>
        <v>Biltrafikens Arbetsgivareförbund</v>
      </c>
      <c r="C121" t="str">
        <f t="shared" si="11"/>
        <v>Svenska Transportarbetareförbundet</v>
      </c>
      <c r="D121" t="str">
        <f>"2025-05-31"</f>
        <v>2025-05-31</v>
      </c>
    </row>
    <row r="122" spans="1:4" x14ac:dyDescent="0.35">
      <c r="A122" t="str">
        <f>"Hyrverksavtalet"</f>
        <v>Hyrverksavtalet</v>
      </c>
      <c r="B122" t="str">
        <f t="shared" si="10"/>
        <v>Biltrafikens Arbetsgivareförbund</v>
      </c>
      <c r="C122" t="str">
        <f t="shared" si="11"/>
        <v>Svenska Transportarbetareförbundet</v>
      </c>
      <c r="D122" t="str">
        <f>"2025-05-31"</f>
        <v>2025-05-31</v>
      </c>
    </row>
    <row r="123" spans="1:4" x14ac:dyDescent="0.35">
      <c r="A123" t="str">
        <f>"Taxiavtal Förare"</f>
        <v>Taxiavtal Förare</v>
      </c>
      <c r="B123" t="str">
        <f t="shared" si="10"/>
        <v>Biltrafikens Arbetsgivareförbund</v>
      </c>
      <c r="C123" t="str">
        <f t="shared" si="11"/>
        <v>Svenska Transportarbetareförbundet</v>
      </c>
      <c r="D123" t="str">
        <f>"2025-08-31"</f>
        <v>2025-08-31</v>
      </c>
    </row>
    <row r="124" spans="1:4" x14ac:dyDescent="0.35">
      <c r="A124" t="str">
        <f>"Tjänstemannaavtalet för Transportföretagen"</f>
        <v>Tjänstemannaavtalet för Transportföretagen</v>
      </c>
      <c r="B124" t="str">
        <f t="shared" si="10"/>
        <v>Biltrafikens Arbetsgivareförbund</v>
      </c>
      <c r="C124" t="str">
        <f>"Sveriges Ingenjörer"</f>
        <v>Sveriges Ingenjörer</v>
      </c>
      <c r="D124" t="str">
        <f>"2025-04-30"</f>
        <v>2025-04-30</v>
      </c>
    </row>
    <row r="125" spans="1:4" x14ac:dyDescent="0.35">
      <c r="A125" t="str">
        <f>"Tjänstemannaavtalet för Transportföretagen"</f>
        <v>Tjänstemannaavtalet för Transportföretagen</v>
      </c>
      <c r="B125" t="str">
        <f t="shared" si="10"/>
        <v>Biltrafikens Arbetsgivareförbund</v>
      </c>
      <c r="C125" t="str">
        <f>"Unionen"</f>
        <v>Unionen</v>
      </c>
      <c r="D125" t="str">
        <f>"2025-04-30"</f>
        <v>2025-04-30</v>
      </c>
    </row>
    <row r="126" spans="1:4" x14ac:dyDescent="0.35">
      <c r="A126" t="str">
        <f>"Gruventreprenadavtal"</f>
        <v>Gruventreprenadavtal</v>
      </c>
      <c r="B126" t="str">
        <f t="shared" ref="B126:B132" si="12">"Byggföretagen"</f>
        <v>Byggföretagen</v>
      </c>
      <c r="C126" t="str">
        <f>"IF Metall"</f>
        <v>IF Metall</v>
      </c>
      <c r="D126" t="str">
        <f>"2025-03-31"</f>
        <v>2025-03-31</v>
      </c>
    </row>
    <row r="127" spans="1:4" x14ac:dyDescent="0.35">
      <c r="A127" t="str">
        <f>"Centrala reparationsverkstäder"</f>
        <v>Centrala reparationsverkstäder</v>
      </c>
      <c r="B127" t="str">
        <f t="shared" si="12"/>
        <v>Byggföretagen</v>
      </c>
      <c r="C127" t="str">
        <f>"IF Metall"</f>
        <v>IF Metall</v>
      </c>
      <c r="D127" t="str">
        <f>"2025-05-31"</f>
        <v>2025-05-31</v>
      </c>
    </row>
    <row r="128" spans="1:4" x14ac:dyDescent="0.35">
      <c r="A128" t="str">
        <f>"Tjänstemannaavtal inom byggbranschen"</f>
        <v>Tjänstemannaavtal inom byggbranschen</v>
      </c>
      <c r="B128" t="str">
        <f t="shared" si="12"/>
        <v>Byggföretagen</v>
      </c>
      <c r="C128" t="str">
        <f>"Ledarna"</f>
        <v>Ledarna</v>
      </c>
      <c r="D128" t="str">
        <f>""</f>
        <v/>
      </c>
    </row>
    <row r="129" spans="1:4" x14ac:dyDescent="0.35">
      <c r="A129" t="str">
        <f>"Väg- och Banavtalet"</f>
        <v>Väg- och Banavtalet</v>
      </c>
      <c r="B129" t="str">
        <f t="shared" si="12"/>
        <v>Byggföretagen</v>
      </c>
      <c r="C129" t="str">
        <f>"Seko, Service- och kommunikationsfacket"</f>
        <v>Seko, Service- och kommunikationsfacket</v>
      </c>
      <c r="D129" t="str">
        <f>"2025-04-30"</f>
        <v>2025-04-30</v>
      </c>
    </row>
    <row r="130" spans="1:4" x14ac:dyDescent="0.35">
      <c r="A130" t="str">
        <f>"Byggavtal"</f>
        <v>Byggavtal</v>
      </c>
      <c r="B130" t="str">
        <f t="shared" si="12"/>
        <v>Byggföretagen</v>
      </c>
      <c r="C130" t="str">
        <f>"Svenska Byggnadsarbetareförbundet"</f>
        <v>Svenska Byggnadsarbetareförbundet</v>
      </c>
      <c r="D130" t="str">
        <f>"2025-04-30"</f>
        <v>2025-04-30</v>
      </c>
    </row>
    <row r="131" spans="1:4" x14ac:dyDescent="0.35">
      <c r="A131" t="str">
        <f>"Tjänstemannaavtal inom byggbranschen"</f>
        <v>Tjänstemannaavtal inom byggbranschen</v>
      </c>
      <c r="B131" t="str">
        <f t="shared" si="12"/>
        <v>Byggföretagen</v>
      </c>
      <c r="C131" t="str">
        <f>"Sveriges Ingenjörer"</f>
        <v>Sveriges Ingenjörer</v>
      </c>
      <c r="D131" t="str">
        <f>"2025-03-31"</f>
        <v>2025-03-31</v>
      </c>
    </row>
    <row r="132" spans="1:4" x14ac:dyDescent="0.35">
      <c r="A132" t="str">
        <f>"Tjänstemannaavtal inom byggbranschen"</f>
        <v>Tjänstemannaavtal inom byggbranschen</v>
      </c>
      <c r="B132" t="str">
        <f t="shared" si="12"/>
        <v>Byggföretagen</v>
      </c>
      <c r="C132" t="str">
        <f>"Unionen"</f>
        <v>Unionen</v>
      </c>
      <c r="D132" t="str">
        <f>"2025-03-31"</f>
        <v>2025-03-31</v>
      </c>
    </row>
    <row r="133" spans="1:4" x14ac:dyDescent="0.35">
      <c r="A133" t="str">
        <f>"Energiavtal"</f>
        <v>Energiavtal</v>
      </c>
      <c r="B133" t="str">
        <f>"EnergiFöretagens Arbetsgivareförening EFA"</f>
        <v>EnergiFöretagens Arbetsgivareförening EFA</v>
      </c>
      <c r="C133" t="str">
        <f>"Ledarna"</f>
        <v>Ledarna</v>
      </c>
      <c r="D133" t="str">
        <f>""</f>
        <v/>
      </c>
    </row>
    <row r="134" spans="1:4" x14ac:dyDescent="0.35">
      <c r="A134" t="str">
        <f>"Energiavtal"</f>
        <v>Energiavtal</v>
      </c>
      <c r="B134" t="str">
        <f>"EnergiFöretagens Arbetsgivareförening EFA"</f>
        <v>EnergiFöretagens Arbetsgivareförening EFA</v>
      </c>
      <c r="C134" t="str">
        <f>"Seko, Service- och kommunikationsfacket"</f>
        <v>Seko, Service- och kommunikationsfacket</v>
      </c>
      <c r="D134" t="str">
        <f>"2025-03-31"</f>
        <v>2025-03-31</v>
      </c>
    </row>
    <row r="135" spans="1:4" x14ac:dyDescent="0.35">
      <c r="A135" t="str">
        <f>"Kraftverksavtal"</f>
        <v>Kraftverksavtal</v>
      </c>
      <c r="B135" t="str">
        <f>"EnergiFöretagens Arbetsgivareförening EFA"</f>
        <v>EnergiFöretagens Arbetsgivareförening EFA</v>
      </c>
      <c r="C135" t="str">
        <f>"Svenska Elektrikerförbundet"</f>
        <v>Svenska Elektrikerförbundet</v>
      </c>
      <c r="D135" t="str">
        <f>"2025-04-30"</f>
        <v>2025-04-30</v>
      </c>
    </row>
    <row r="136" spans="1:4" x14ac:dyDescent="0.35">
      <c r="A136" t="str">
        <f>"Energiavtal"</f>
        <v>Energiavtal</v>
      </c>
      <c r="B136" t="str">
        <f>"EnergiFöretagens Arbetsgivareförening EFA"</f>
        <v>EnergiFöretagens Arbetsgivareförening EFA</v>
      </c>
      <c r="C136" t="str">
        <f>"Sveriges Ingenjörer"</f>
        <v>Sveriges Ingenjörer</v>
      </c>
      <c r="D136" t="str">
        <f>"2025-03-31"</f>
        <v>2025-03-31</v>
      </c>
    </row>
    <row r="137" spans="1:4" x14ac:dyDescent="0.35">
      <c r="A137" t="str">
        <f>"Energiavtal"</f>
        <v>Energiavtal</v>
      </c>
      <c r="B137" t="str">
        <f>"EnergiFöretagens Arbetsgivareförening EFA"</f>
        <v>EnergiFöretagens Arbetsgivareförening EFA</v>
      </c>
      <c r="C137" t="str">
        <f>"Unionen"</f>
        <v>Unionen</v>
      </c>
      <c r="D137" t="str">
        <f>"2025-03-31"</f>
        <v>2025-03-31</v>
      </c>
    </row>
    <row r="138" spans="1:4" x14ac:dyDescent="0.35">
      <c r="A138" t="str">
        <f>"Akademiker i försäkringsbranschen"</f>
        <v>Akademiker i försäkringsbranschen</v>
      </c>
      <c r="B138" t="str">
        <f>"FAO - Försäkringsbranschens Arbetsgivareorganisation"</f>
        <v>FAO - Försäkringsbranschens Arbetsgivareorganisation</v>
      </c>
      <c r="C138" t="str">
        <f>"Akavia"</f>
        <v>Akavia</v>
      </c>
      <c r="D138" t="str">
        <f>"2024-03-31"</f>
        <v>2024-03-31</v>
      </c>
    </row>
    <row r="139" spans="1:4" x14ac:dyDescent="0.35">
      <c r="A139" t="str">
        <f>"Tjänstemän i försäkringsbranschen"</f>
        <v>Tjänstemän i försäkringsbranschen</v>
      </c>
      <c r="B139" t="str">
        <f>"FAO - Försäkringsbranschens Arbetsgivareorganisation"</f>
        <v>FAO - Försäkringsbranschens Arbetsgivareorganisation</v>
      </c>
      <c r="C139" t="str">
        <f>"Forena"</f>
        <v>Forena</v>
      </c>
      <c r="D139" t="str">
        <f>"2025-03-31"</f>
        <v>2025-03-31</v>
      </c>
    </row>
    <row r="140" spans="1:4" x14ac:dyDescent="0.35">
      <c r="A140" t="str">
        <f>"Akademiker i försäkringsbranschen"</f>
        <v>Akademiker i försäkringsbranschen</v>
      </c>
      <c r="B140" t="str">
        <f>"FAO - Försäkringsbranschens Arbetsgivareorganisation"</f>
        <v>FAO - Försäkringsbranschens Arbetsgivareorganisation</v>
      </c>
      <c r="C140" t="str">
        <f>"Sveriges Ingenjörer"</f>
        <v>Sveriges Ingenjörer</v>
      </c>
      <c r="D140" t="str">
        <f>"2024-03-31"</f>
        <v>2024-03-31</v>
      </c>
    </row>
    <row r="141" spans="1:4" x14ac:dyDescent="0.35">
      <c r="A141" t="str">
        <f>"K-avtalet (Tjänstemannaavtal)"</f>
        <v>K-avtalet (Tjänstemannaavtal)</v>
      </c>
      <c r="B141" t="str">
        <f t="shared" ref="B141:B154" si="13">"Fastigo - Fastighetsbranschens Arbetsgivarorganisation"</f>
        <v>Fastigo - Fastighetsbranschens Arbetsgivarorganisation</v>
      </c>
      <c r="C141" t="str">
        <f>"Akademikerförbunden inom Fastigos avtalsområde, AiF"</f>
        <v>Akademikerförbunden inom Fastigos avtalsområde, AiF</v>
      </c>
      <c r="D141" t="str">
        <f>"2025-03-31"</f>
        <v>2025-03-31</v>
      </c>
    </row>
    <row r="142" spans="1:4" x14ac:dyDescent="0.35">
      <c r="A142" t="str">
        <f>"I-avtalet (Tjänstemannaavtal)"</f>
        <v>I-avtalet (Tjänstemannaavtal)</v>
      </c>
      <c r="B142" t="str">
        <f t="shared" si="13"/>
        <v>Fastigo - Fastighetsbranschens Arbetsgivarorganisation</v>
      </c>
      <c r="C142" t="str">
        <f>"Akademikerförbunden inom Fastigos avtalsområde, AiF"</f>
        <v>Akademikerförbunden inom Fastigos avtalsområde, AiF</v>
      </c>
      <c r="D142" t="str">
        <f>"2025-03-31"</f>
        <v>2025-03-31</v>
      </c>
    </row>
    <row r="143" spans="1:4" x14ac:dyDescent="0.35">
      <c r="A143" t="str">
        <f>"F-avtalet"</f>
        <v>F-avtalet</v>
      </c>
      <c r="B143" t="str">
        <f t="shared" si="13"/>
        <v>Fastigo - Fastighetsbranschens Arbetsgivarorganisation</v>
      </c>
      <c r="C143" t="str">
        <f>"Fastighetsanställdas Förbund"</f>
        <v>Fastighetsanställdas Förbund</v>
      </c>
      <c r="D143" t="str">
        <f>"2025-03-31"</f>
        <v>2025-03-31</v>
      </c>
    </row>
    <row r="144" spans="1:4" x14ac:dyDescent="0.35">
      <c r="A144" t="str">
        <f>"K-avtalet (Tjänstemannaavtal)"</f>
        <v>K-avtalet (Tjänstemannaavtal)</v>
      </c>
      <c r="B144" t="str">
        <f t="shared" si="13"/>
        <v>Fastigo - Fastighetsbranschens Arbetsgivarorganisation</v>
      </c>
      <c r="C144" t="str">
        <f>"Ledarna"</f>
        <v>Ledarna</v>
      </c>
      <c r="D144" t="str">
        <f>""</f>
        <v/>
      </c>
    </row>
    <row r="145" spans="1:4" x14ac:dyDescent="0.35">
      <c r="A145" t="str">
        <f>"I-avtalet (Tjänstemannaavtal)"</f>
        <v>I-avtalet (Tjänstemannaavtal)</v>
      </c>
      <c r="B145" t="str">
        <f t="shared" si="13"/>
        <v>Fastigo - Fastighetsbranschens Arbetsgivarorganisation</v>
      </c>
      <c r="C145" t="str">
        <f>"Ledarna"</f>
        <v>Ledarna</v>
      </c>
      <c r="D145" t="str">
        <f>""</f>
        <v/>
      </c>
    </row>
    <row r="146" spans="1:4" x14ac:dyDescent="0.35">
      <c r="A146" t="str">
        <f>"Byggavtal"</f>
        <v>Byggavtal</v>
      </c>
      <c r="B146" t="str">
        <f t="shared" si="13"/>
        <v>Fastigo - Fastighetsbranschens Arbetsgivarorganisation</v>
      </c>
      <c r="C146" t="str">
        <f>"Svenska Byggnadsarbetareförbundet"</f>
        <v>Svenska Byggnadsarbetareförbundet</v>
      </c>
      <c r="D146" t="str">
        <f t="shared" ref="D146:D152" si="14">"2025-04-30"</f>
        <v>2025-04-30</v>
      </c>
    </row>
    <row r="147" spans="1:4" x14ac:dyDescent="0.35">
      <c r="A147" t="str">
        <f>"Teknikinstallationsavtal"</f>
        <v>Teknikinstallationsavtal</v>
      </c>
      <c r="B147" t="str">
        <f t="shared" si="13"/>
        <v>Fastigo - Fastighetsbranschens Arbetsgivarorganisation</v>
      </c>
      <c r="C147" t="str">
        <f>"Svenska Byggnadsarbetareförbundet"</f>
        <v>Svenska Byggnadsarbetareförbundet</v>
      </c>
      <c r="D147" t="str">
        <f t="shared" si="14"/>
        <v>2025-04-30</v>
      </c>
    </row>
    <row r="148" spans="1:4" x14ac:dyDescent="0.35">
      <c r="A148" t="str">
        <f>"Installationsavtal"</f>
        <v>Installationsavtal</v>
      </c>
      <c r="B148" t="str">
        <f t="shared" si="13"/>
        <v>Fastigo - Fastighetsbranschens Arbetsgivarorganisation</v>
      </c>
      <c r="C148" t="str">
        <f>"Svenska Elektrikerförbundet"</f>
        <v>Svenska Elektrikerförbundet</v>
      </c>
      <c r="D148" t="str">
        <f t="shared" si="14"/>
        <v>2025-04-30</v>
      </c>
    </row>
    <row r="149" spans="1:4" x14ac:dyDescent="0.35">
      <c r="A149" t="str">
        <f>"S-avtalet"</f>
        <v>S-avtalet</v>
      </c>
      <c r="B149" t="str">
        <f t="shared" si="13"/>
        <v>Fastigo - Fastighetsbranschens Arbetsgivarorganisation</v>
      </c>
      <c r="C149" t="str">
        <f>"Svenska Kommunalarbetareförbundet"</f>
        <v>Svenska Kommunalarbetareförbundet</v>
      </c>
      <c r="D149" t="str">
        <f t="shared" si="14"/>
        <v>2025-04-30</v>
      </c>
    </row>
    <row r="150" spans="1:4" x14ac:dyDescent="0.35">
      <c r="A150" t="str">
        <f>"Trädgårdsanläggning"</f>
        <v>Trädgårdsanläggning</v>
      </c>
      <c r="B150" t="str">
        <f t="shared" si="13"/>
        <v>Fastigo - Fastighetsbranschens Arbetsgivarorganisation</v>
      </c>
      <c r="C150" t="str">
        <f>"Svenska Kommunalarbetareförbundet"</f>
        <v>Svenska Kommunalarbetareförbundet</v>
      </c>
      <c r="D150" t="str">
        <f t="shared" si="14"/>
        <v>2025-04-30</v>
      </c>
    </row>
    <row r="151" spans="1:4" x14ac:dyDescent="0.35">
      <c r="A151" t="str">
        <f>"Ackordsavtalet"</f>
        <v>Ackordsavtalet</v>
      </c>
      <c r="B151" t="str">
        <f t="shared" si="13"/>
        <v>Fastigo - Fastighetsbranschens Arbetsgivarorganisation</v>
      </c>
      <c r="C151" t="str">
        <f>"Svenska Målareförbundet"</f>
        <v>Svenska Målareförbundet</v>
      </c>
      <c r="D151" t="str">
        <f t="shared" si="14"/>
        <v>2025-04-30</v>
      </c>
    </row>
    <row r="152" spans="1:4" x14ac:dyDescent="0.35">
      <c r="A152" t="str">
        <f>"Månadslöneavtalet"</f>
        <v>Månadslöneavtalet</v>
      </c>
      <c r="B152" t="str">
        <f t="shared" si="13"/>
        <v>Fastigo - Fastighetsbranschens Arbetsgivarorganisation</v>
      </c>
      <c r="C152" t="str">
        <f>"Svenska Målareförbundet"</f>
        <v>Svenska Målareförbundet</v>
      </c>
      <c r="D152" t="str">
        <f t="shared" si="14"/>
        <v>2025-04-30</v>
      </c>
    </row>
    <row r="153" spans="1:4" x14ac:dyDescent="0.35">
      <c r="A153" t="str">
        <f>"I-avtalet (Tjänstemannaavtal)"</f>
        <v>I-avtalet (Tjänstemannaavtal)</v>
      </c>
      <c r="B153" t="str">
        <f t="shared" si="13"/>
        <v>Fastigo - Fastighetsbranschens Arbetsgivarorganisation</v>
      </c>
      <c r="C153" t="str">
        <f>"Unionen"</f>
        <v>Unionen</v>
      </c>
      <c r="D153" t="str">
        <f>"2025-03-31"</f>
        <v>2025-03-31</v>
      </c>
    </row>
    <row r="154" spans="1:4" x14ac:dyDescent="0.35">
      <c r="A154" t="str">
        <f>"K-avtalet (Tjänstemannaavtal)"</f>
        <v>K-avtalet (Tjänstemannaavtal)</v>
      </c>
      <c r="B154" t="str">
        <f t="shared" si="13"/>
        <v>Fastigo - Fastighetsbranschens Arbetsgivarorganisation</v>
      </c>
      <c r="C154" t="str">
        <f>"Vision"</f>
        <v>Vision</v>
      </c>
      <c r="D154" t="str">
        <f>"2025-03-31"</f>
        <v>2025-03-31</v>
      </c>
    </row>
    <row r="155" spans="1:4" x14ac:dyDescent="0.35">
      <c r="A155" t="str">
        <f>"Enskilda högskolor"</f>
        <v>Enskilda högskolor</v>
      </c>
      <c r="B155" t="str">
        <f t="shared" ref="B155:B186" si="15">"Fremia"</f>
        <v>Fremia</v>
      </c>
      <c r="C155" t="str">
        <f t="shared" ref="C155:C164" si="16">"Akademikerförbunden"</f>
        <v>Akademikerförbunden</v>
      </c>
      <c r="D155" t="str">
        <f>""</f>
        <v/>
      </c>
    </row>
    <row r="156" spans="1:4" x14ac:dyDescent="0.35">
      <c r="A156" t="str">
        <f>"Juridisk Verksamhet"</f>
        <v>Juridisk Verksamhet</v>
      </c>
      <c r="B156" t="str">
        <f t="shared" si="15"/>
        <v>Fremia</v>
      </c>
      <c r="C156" t="str">
        <f t="shared" si="16"/>
        <v>Akademikerförbunden</v>
      </c>
      <c r="D156" t="str">
        <f>""</f>
        <v/>
      </c>
    </row>
    <row r="157" spans="1:4" x14ac:dyDescent="0.35">
      <c r="A157" t="str">
        <f>"Folksam"</f>
        <v>Folksam</v>
      </c>
      <c r="B157" t="str">
        <f t="shared" si="15"/>
        <v>Fremia</v>
      </c>
      <c r="C157" t="str">
        <f t="shared" si="16"/>
        <v>Akademikerförbunden</v>
      </c>
      <c r="D157" t="str">
        <f>""</f>
        <v/>
      </c>
    </row>
    <row r="158" spans="1:4" x14ac:dyDescent="0.35">
      <c r="A158" t="str">
        <f>"Tjänstemannaavtal (direktanställda tjänstemän)"</f>
        <v>Tjänstemannaavtal (direktanställda tjänstemän)</v>
      </c>
      <c r="B158" t="str">
        <f t="shared" si="15"/>
        <v>Fremia</v>
      </c>
      <c r="C158" t="str">
        <f t="shared" si="16"/>
        <v>Akademikerförbunden</v>
      </c>
      <c r="D158" t="str">
        <f>"2025-03-31"</f>
        <v>2025-03-31</v>
      </c>
    </row>
    <row r="159" spans="1:4" x14ac:dyDescent="0.35">
      <c r="A159" t="str">
        <f>"Tjänstemannaavtal (anvisade tjänstemän)"</f>
        <v>Tjänstemannaavtal (anvisade tjänstemän)</v>
      </c>
      <c r="B159" t="str">
        <f t="shared" si="15"/>
        <v>Fremia</v>
      </c>
      <c r="C159" t="str">
        <f t="shared" si="16"/>
        <v>Akademikerförbunden</v>
      </c>
      <c r="D159" t="str">
        <f>"2025-03-31"</f>
        <v>2025-03-31</v>
      </c>
    </row>
    <row r="160" spans="1:4" x14ac:dyDescent="0.35">
      <c r="A160" t="str">
        <f>"Tjänstemän inom näringslivet"</f>
        <v>Tjänstemän inom näringslivet</v>
      </c>
      <c r="B160" t="str">
        <f t="shared" si="15"/>
        <v>Fremia</v>
      </c>
      <c r="C160" t="str">
        <f t="shared" si="16"/>
        <v>Akademikerförbunden</v>
      </c>
      <c r="D160" t="str">
        <f>"2025-03-31"</f>
        <v>2025-03-31</v>
      </c>
    </row>
    <row r="161" spans="1:4" x14ac:dyDescent="0.35">
      <c r="A161" t="str">
        <f>"Tjänstemän - Civilsamhället"</f>
        <v>Tjänstemän - Civilsamhället</v>
      </c>
      <c r="B161" t="str">
        <f t="shared" si="15"/>
        <v>Fremia</v>
      </c>
      <c r="C161" t="str">
        <f t="shared" si="16"/>
        <v>Akademikerförbunden</v>
      </c>
      <c r="D161" t="str">
        <f>"2025-04-30"</f>
        <v>2025-04-30</v>
      </c>
    </row>
    <row r="162" spans="1:4" x14ac:dyDescent="0.35">
      <c r="A162" t="str">
        <f>"Hälsa, vård och övrig omsorg"</f>
        <v>Hälsa, vård och övrig omsorg</v>
      </c>
      <c r="B162" t="str">
        <f t="shared" si="15"/>
        <v>Fremia</v>
      </c>
      <c r="C162" t="str">
        <f t="shared" si="16"/>
        <v>Akademikerförbunden</v>
      </c>
      <c r="D162" t="str">
        <f>"2025-05-31"</f>
        <v>2025-05-31</v>
      </c>
    </row>
    <row r="163" spans="1:4" x14ac:dyDescent="0.35">
      <c r="A163" t="str">
        <f>"Hyresgästföreningen"</f>
        <v>Hyresgästföreningen</v>
      </c>
      <c r="B163" t="str">
        <f t="shared" si="15"/>
        <v>Fremia</v>
      </c>
      <c r="C163" t="str">
        <f t="shared" si="16"/>
        <v>Akademikerförbunden</v>
      </c>
      <c r="D163" t="str">
        <f>"2025-09-30"</f>
        <v>2025-09-30</v>
      </c>
    </row>
    <row r="164" spans="1:4" x14ac:dyDescent="0.35">
      <c r="A164" t="str">
        <f>"Folkrörelseorganisationer"</f>
        <v>Folkrörelseorganisationer</v>
      </c>
      <c r="B164" t="str">
        <f t="shared" si="15"/>
        <v>Fremia</v>
      </c>
      <c r="C164" t="str">
        <f t="shared" si="16"/>
        <v>Akademikerförbunden</v>
      </c>
      <c r="D164" t="str">
        <f>"2025-09-30"</f>
        <v>2025-09-30</v>
      </c>
    </row>
    <row r="165" spans="1:4" x14ac:dyDescent="0.35">
      <c r="A165" t="str">
        <f>"Media - Kommunikation - Kreativa näringar"</f>
        <v>Media - Kommunikation - Kreativa näringar</v>
      </c>
      <c r="B165" t="str">
        <f t="shared" si="15"/>
        <v>Fremia</v>
      </c>
      <c r="C165" t="str">
        <f>"Fackförbundet DIK"</f>
        <v>Fackförbundet DIK</v>
      </c>
      <c r="D165" t="str">
        <f>""</f>
        <v/>
      </c>
    </row>
    <row r="166" spans="1:4" x14ac:dyDescent="0.35">
      <c r="A166" t="str">
        <f>"F-avtalet"</f>
        <v>F-avtalet</v>
      </c>
      <c r="B166" t="str">
        <f t="shared" si="15"/>
        <v>Fremia</v>
      </c>
      <c r="C166" t="str">
        <f>"Fastighetsanställdas Förbund"</f>
        <v>Fastighetsanställdas Förbund</v>
      </c>
      <c r="D166" t="str">
        <f>"2025-03-31"</f>
        <v>2025-03-31</v>
      </c>
    </row>
    <row r="167" spans="1:4" x14ac:dyDescent="0.35">
      <c r="A167" t="str">
        <f>"Folkets Hus och Parker"</f>
        <v>Folkets Hus och Parker</v>
      </c>
      <c r="B167" t="str">
        <f t="shared" si="15"/>
        <v>Fremia</v>
      </c>
      <c r="C167" t="str">
        <f>"Fastighetsanställdas Förbund"</f>
        <v>Fastighetsanställdas Förbund</v>
      </c>
      <c r="D167" t="str">
        <f>"2025-03-31"</f>
        <v>2025-03-31</v>
      </c>
    </row>
    <row r="168" spans="1:4" x14ac:dyDescent="0.35">
      <c r="A168" t="str">
        <f>"Samhall LO-förbund"</f>
        <v>Samhall LO-förbund</v>
      </c>
      <c r="B168" t="str">
        <f t="shared" si="15"/>
        <v>Fremia</v>
      </c>
      <c r="C168" t="str">
        <f>"Fastighetsanställdas Förbund"</f>
        <v>Fastighetsanställdas Förbund</v>
      </c>
      <c r="D168" t="str">
        <f>"2025-09-30"</f>
        <v>2025-09-30</v>
      </c>
    </row>
    <row r="169" spans="1:4" x14ac:dyDescent="0.35">
      <c r="A169" t="str">
        <f>"Folksam"</f>
        <v>Folksam</v>
      </c>
      <c r="B169" t="str">
        <f t="shared" si="15"/>
        <v>Fremia</v>
      </c>
      <c r="C169" t="str">
        <f>"Forena"</f>
        <v>Forena</v>
      </c>
      <c r="D169" t="str">
        <f>"2024-12-31"</f>
        <v>2024-12-31</v>
      </c>
    </row>
    <row r="170" spans="1:4" x14ac:dyDescent="0.35">
      <c r="A170" t="str">
        <f>"LO-TCO Rättsskydd"</f>
        <v>LO-TCO Rättsskydd</v>
      </c>
      <c r="B170" t="str">
        <f t="shared" si="15"/>
        <v>Fremia</v>
      </c>
      <c r="C170" t="str">
        <f>"Forena"</f>
        <v>Forena</v>
      </c>
      <c r="D170" t="str">
        <f>"2024-12-31"</f>
        <v>2024-12-31</v>
      </c>
    </row>
    <row r="171" spans="1:4" x14ac:dyDescent="0.35">
      <c r="A171" t="str">
        <f>"Träindustriavtalet"</f>
        <v>Träindustriavtalet</v>
      </c>
      <c r="B171" t="str">
        <f t="shared" si="15"/>
        <v>Fremia</v>
      </c>
      <c r="C171" t="str">
        <f>"GS Facket för skogs-, trä- och grafisk bransch"</f>
        <v>GS Facket för skogs-, trä- och grafisk bransch</v>
      </c>
      <c r="D171" t="str">
        <f>"2025-03-31"</f>
        <v>2025-03-31</v>
      </c>
    </row>
    <row r="172" spans="1:4" x14ac:dyDescent="0.35">
      <c r="A172" t="str">
        <f>"Skogsbruk"</f>
        <v>Skogsbruk</v>
      </c>
      <c r="B172" t="str">
        <f t="shared" si="15"/>
        <v>Fremia</v>
      </c>
      <c r="C172" t="str">
        <f>"GS Facket för skogs-, trä- och grafisk bransch"</f>
        <v>GS Facket för skogs-, trä- och grafisk bransch</v>
      </c>
      <c r="D172" t="str">
        <f>"2025-03-31"</f>
        <v>2025-03-31</v>
      </c>
    </row>
    <row r="173" spans="1:4" x14ac:dyDescent="0.35">
      <c r="A173" t="str">
        <f>"Samhall LO-förbund"</f>
        <v>Samhall LO-förbund</v>
      </c>
      <c r="B173" t="str">
        <f t="shared" si="15"/>
        <v>Fremia</v>
      </c>
      <c r="C173" t="str">
        <f>"GS Facket för skogs-, trä- och grafisk bransch"</f>
        <v>GS Facket för skogs-, trä- och grafisk bransch</v>
      </c>
      <c r="D173" t="str">
        <f>"2025-09-30"</f>
        <v>2025-09-30</v>
      </c>
    </row>
    <row r="174" spans="1:4" x14ac:dyDescent="0.35">
      <c r="A174" t="str">
        <f>"Folksam"</f>
        <v>Folksam</v>
      </c>
      <c r="B174" t="str">
        <f t="shared" si="15"/>
        <v>Fremia</v>
      </c>
      <c r="C174" t="str">
        <f t="shared" ref="C174:C184" si="17">"Handelsanställdas förbund"</f>
        <v>Handelsanställdas förbund</v>
      </c>
      <c r="D174" t="str">
        <f>"2024-12-31"</f>
        <v>2024-12-31</v>
      </c>
    </row>
    <row r="175" spans="1:4" x14ac:dyDescent="0.35">
      <c r="A175" t="str">
        <f>"Folksam Telefonrådgivare"</f>
        <v>Folksam Telefonrådgivare</v>
      </c>
      <c r="B175" t="str">
        <f t="shared" si="15"/>
        <v>Fremia</v>
      </c>
      <c r="C175" t="str">
        <f t="shared" si="17"/>
        <v>Handelsanställdas förbund</v>
      </c>
      <c r="D175" t="str">
        <f>"2024-12-31"</f>
        <v>2024-12-31</v>
      </c>
    </row>
    <row r="176" spans="1:4" x14ac:dyDescent="0.35">
      <c r="A176" t="str">
        <f>"Butiker"</f>
        <v>Butiker</v>
      </c>
      <c r="B176" t="str">
        <f t="shared" si="15"/>
        <v>Fremia</v>
      </c>
      <c r="C176" t="str">
        <f t="shared" si="17"/>
        <v>Handelsanställdas förbund</v>
      </c>
      <c r="D176" t="str">
        <f>"2025-03-31"</f>
        <v>2025-03-31</v>
      </c>
    </row>
    <row r="177" spans="1:4" x14ac:dyDescent="0.35">
      <c r="A177" t="str">
        <f>"Stormarknad"</f>
        <v>Stormarknad</v>
      </c>
      <c r="B177" t="str">
        <f t="shared" si="15"/>
        <v>Fremia</v>
      </c>
      <c r="C177" t="str">
        <f t="shared" si="17"/>
        <v>Handelsanställdas förbund</v>
      </c>
      <c r="D177" t="str">
        <f>"2025-03-31"</f>
        <v>2025-03-31</v>
      </c>
    </row>
    <row r="178" spans="1:4" x14ac:dyDescent="0.35">
      <c r="A178" t="str">
        <f>"Lager, Terminal, Chaufförer"</f>
        <v>Lager, Terminal, Chaufförer</v>
      </c>
      <c r="B178" t="str">
        <f t="shared" si="15"/>
        <v>Fremia</v>
      </c>
      <c r="C178" t="str">
        <f t="shared" si="17"/>
        <v>Handelsanställdas förbund</v>
      </c>
      <c r="D178" t="str">
        <f>"2025-03-31"</f>
        <v>2025-03-31</v>
      </c>
    </row>
    <row r="179" spans="1:4" x14ac:dyDescent="0.35">
      <c r="A179" t="str">
        <f>"Lager- och logistikpersonal"</f>
        <v>Lager- och logistikpersonal</v>
      </c>
      <c r="B179" t="str">
        <f t="shared" si="15"/>
        <v>Fremia</v>
      </c>
      <c r="C179" t="str">
        <f t="shared" si="17"/>
        <v>Handelsanställdas förbund</v>
      </c>
      <c r="D179" t="str">
        <f>"2025-03-31"</f>
        <v>2025-03-31</v>
      </c>
    </row>
    <row r="180" spans="1:4" x14ac:dyDescent="0.35">
      <c r="A180" t="str">
        <f>"Tjänstemannaavtal inom handeln"</f>
        <v>Tjänstemannaavtal inom handeln</v>
      </c>
      <c r="B180" t="str">
        <f t="shared" si="15"/>
        <v>Fremia</v>
      </c>
      <c r="C180" t="str">
        <f t="shared" si="17"/>
        <v>Handelsanställdas förbund</v>
      </c>
      <c r="D180" t="str">
        <f>"2025-03-31"</f>
        <v>2025-03-31</v>
      </c>
    </row>
    <row r="181" spans="1:4" x14ac:dyDescent="0.35">
      <c r="A181" t="str">
        <f>"Samhall LO-förbund"</f>
        <v>Samhall LO-förbund</v>
      </c>
      <c r="B181" t="str">
        <f t="shared" si="15"/>
        <v>Fremia</v>
      </c>
      <c r="C181" t="str">
        <f t="shared" si="17"/>
        <v>Handelsanställdas förbund</v>
      </c>
      <c r="D181" t="str">
        <f>"2025-09-30"</f>
        <v>2025-09-30</v>
      </c>
    </row>
    <row r="182" spans="1:4" x14ac:dyDescent="0.35">
      <c r="A182" t="str">
        <f>"Folkrörelseavtal"</f>
        <v>Folkrörelseavtal</v>
      </c>
      <c r="B182" t="str">
        <f t="shared" si="15"/>
        <v>Fremia</v>
      </c>
      <c r="C182" t="str">
        <f t="shared" si="17"/>
        <v>Handelsanställdas förbund</v>
      </c>
      <c r="D182" t="str">
        <f>"2025-09-30"</f>
        <v>2025-09-30</v>
      </c>
    </row>
    <row r="183" spans="1:4" x14ac:dyDescent="0.35">
      <c r="A183" t="str">
        <f>"Hyresgästföreningen"</f>
        <v>Hyresgästföreningen</v>
      </c>
      <c r="B183" t="str">
        <f t="shared" si="15"/>
        <v>Fremia</v>
      </c>
      <c r="C183" t="str">
        <f t="shared" si="17"/>
        <v>Handelsanställdas förbund</v>
      </c>
      <c r="D183" t="str">
        <f>"2025-09-30"</f>
        <v>2025-09-30</v>
      </c>
    </row>
    <row r="184" spans="1:4" x14ac:dyDescent="0.35">
      <c r="A184" t="str">
        <f>"Second-hand verksamhet inom idéburen organisation"</f>
        <v>Second-hand verksamhet inom idéburen organisation</v>
      </c>
      <c r="B184" t="str">
        <f t="shared" si="15"/>
        <v>Fremia</v>
      </c>
      <c r="C184" t="str">
        <f t="shared" si="17"/>
        <v>Handelsanställdas förbund</v>
      </c>
      <c r="D184" t="str">
        <f>"2025-09-30"</f>
        <v>2025-09-30</v>
      </c>
    </row>
    <row r="185" spans="1:4" x14ac:dyDescent="0.35">
      <c r="A185" t="str">
        <f>"Folkets Hus och Parker"</f>
        <v>Folkets Hus och Parker</v>
      </c>
      <c r="B185" t="str">
        <f t="shared" si="15"/>
        <v>Fremia</v>
      </c>
      <c r="C185" t="str">
        <f>"Hotell- och Restaurangfacket"</f>
        <v>Hotell- och Restaurangfacket</v>
      </c>
      <c r="D185" t="str">
        <f>"2025-03-31"</f>
        <v>2025-03-31</v>
      </c>
    </row>
    <row r="186" spans="1:4" x14ac:dyDescent="0.35">
      <c r="A186" t="str">
        <f>"Restaurangavtal (Visita)"</f>
        <v>Restaurangavtal (Visita)</v>
      </c>
      <c r="B186" t="str">
        <f t="shared" si="15"/>
        <v>Fremia</v>
      </c>
      <c r="C186" t="str">
        <f>"Hotell- och Restaurangfacket"</f>
        <v>Hotell- och Restaurangfacket</v>
      </c>
      <c r="D186" t="str">
        <f>"2025-03-31"</f>
        <v>2025-03-31</v>
      </c>
    </row>
    <row r="187" spans="1:4" x14ac:dyDescent="0.35">
      <c r="A187" t="str">
        <f>"Samhall LO-förbund"</f>
        <v>Samhall LO-förbund</v>
      </c>
      <c r="B187" t="str">
        <f t="shared" ref="B187:B218" si="18">"Fremia"</f>
        <v>Fremia</v>
      </c>
      <c r="C187" t="str">
        <f>"Hotell- och Restaurangfacket"</f>
        <v>Hotell- och Restaurangfacket</v>
      </c>
      <c r="D187" t="str">
        <f>"2025-09-30"</f>
        <v>2025-09-30</v>
      </c>
    </row>
    <row r="188" spans="1:4" x14ac:dyDescent="0.35">
      <c r="A188" t="str">
        <f>"Teknikavtal"</f>
        <v>Teknikavtal</v>
      </c>
      <c r="B188" t="str">
        <f t="shared" si="18"/>
        <v>Fremia</v>
      </c>
      <c r="C188" t="str">
        <f>"IF Metall"</f>
        <v>IF Metall</v>
      </c>
      <c r="D188" t="str">
        <f>"2025-03-31"</f>
        <v>2025-03-31</v>
      </c>
    </row>
    <row r="189" spans="1:4" x14ac:dyDescent="0.35">
      <c r="A189" t="str">
        <f>"I-avtalet"</f>
        <v>I-avtalet</v>
      </c>
      <c r="B189" t="str">
        <f t="shared" si="18"/>
        <v>Fremia</v>
      </c>
      <c r="C189" t="str">
        <f>"IF Metall"</f>
        <v>IF Metall</v>
      </c>
      <c r="D189" t="str">
        <f>"2025-03-31"</f>
        <v>2025-03-31</v>
      </c>
    </row>
    <row r="190" spans="1:4" x14ac:dyDescent="0.35">
      <c r="A190" t="str">
        <f>"Samhall LO-förbund"</f>
        <v>Samhall LO-förbund</v>
      </c>
      <c r="B190" t="str">
        <f t="shared" si="18"/>
        <v>Fremia</v>
      </c>
      <c r="C190" t="str">
        <f>"IF Metall"</f>
        <v>IF Metall</v>
      </c>
      <c r="D190" t="str">
        <f>"2025-09-30"</f>
        <v>2025-09-30</v>
      </c>
    </row>
    <row r="191" spans="1:4" x14ac:dyDescent="0.35">
      <c r="A191" t="str">
        <f>"Uppdragstagaravtal (fd Frilansavtal)"</f>
        <v>Uppdragstagaravtal (fd Frilansavtal)</v>
      </c>
      <c r="B191" t="str">
        <f t="shared" si="18"/>
        <v>Fremia</v>
      </c>
      <c r="C191" t="str">
        <f>"Journalistförbundet"</f>
        <v>Journalistförbundet</v>
      </c>
      <c r="D191" t="str">
        <f>""</f>
        <v/>
      </c>
    </row>
    <row r="192" spans="1:4" x14ac:dyDescent="0.35">
      <c r="A192" t="str">
        <f>"Dagspress"</f>
        <v>Dagspress</v>
      </c>
      <c r="B192" t="str">
        <f t="shared" si="18"/>
        <v>Fremia</v>
      </c>
      <c r="C192" t="str">
        <f>"Journalistförbundet"</f>
        <v>Journalistförbundet</v>
      </c>
      <c r="D192" t="str">
        <f>"2023-03-31"</f>
        <v>2023-03-31</v>
      </c>
    </row>
    <row r="193" spans="1:4" x14ac:dyDescent="0.35">
      <c r="A193" t="str">
        <f>"Hyresgästföreningen"</f>
        <v>Hyresgästföreningen</v>
      </c>
      <c r="B193" t="str">
        <f t="shared" si="18"/>
        <v>Fremia</v>
      </c>
      <c r="C193" t="str">
        <f>"Journalistförbundet"</f>
        <v>Journalistförbundet</v>
      </c>
      <c r="D193" t="str">
        <f>"2025-09-30"</f>
        <v>2025-09-30</v>
      </c>
    </row>
    <row r="194" spans="1:4" x14ac:dyDescent="0.35">
      <c r="A194" t="str">
        <f>"Tjänstemannaavtal (direktanställda tjänstemän)"</f>
        <v>Tjänstemannaavtal (direktanställda tjänstemän)</v>
      </c>
      <c r="B194" t="str">
        <f t="shared" si="18"/>
        <v>Fremia</v>
      </c>
      <c r="C194" t="str">
        <f>"Ledarna"</f>
        <v>Ledarna</v>
      </c>
      <c r="D194" t="str">
        <f>""</f>
        <v/>
      </c>
    </row>
    <row r="195" spans="1:4" x14ac:dyDescent="0.35">
      <c r="A195" t="str">
        <f>"KTF-tjänstemän inom handeln"</f>
        <v>KTF-tjänstemän inom handeln</v>
      </c>
      <c r="B195" t="str">
        <f t="shared" si="18"/>
        <v>Fremia</v>
      </c>
      <c r="C195" t="str">
        <f>"Ledarna"</f>
        <v>Ledarna</v>
      </c>
      <c r="D195" t="str">
        <f>""</f>
        <v/>
      </c>
    </row>
    <row r="196" spans="1:4" x14ac:dyDescent="0.35">
      <c r="A196" t="str">
        <f>"Tjänstemän inom näringslivet"</f>
        <v>Tjänstemän inom näringslivet</v>
      </c>
      <c r="B196" t="str">
        <f t="shared" si="18"/>
        <v>Fremia</v>
      </c>
      <c r="C196" t="str">
        <f>"Ledarna"</f>
        <v>Ledarna</v>
      </c>
      <c r="D196" t="str">
        <f>"2025-03-31"</f>
        <v>2025-03-31</v>
      </c>
    </row>
    <row r="197" spans="1:4" x14ac:dyDescent="0.35">
      <c r="A197" t="str">
        <f>"Livsmedelsavtal"</f>
        <v>Livsmedelsavtal</v>
      </c>
      <c r="B197" t="str">
        <f t="shared" si="18"/>
        <v>Fremia</v>
      </c>
      <c r="C197" t="str">
        <f>"Livsmedelsarbetareförbundet"</f>
        <v>Livsmedelsarbetareförbundet</v>
      </c>
      <c r="D197" t="str">
        <f>"2025-03-31"</f>
        <v>2025-03-31</v>
      </c>
    </row>
    <row r="198" spans="1:4" x14ac:dyDescent="0.35">
      <c r="A198" t="str">
        <f>"Musiker, musikartister och diskjockeys"</f>
        <v>Musiker, musikartister och diskjockeys</v>
      </c>
      <c r="B198" t="str">
        <f t="shared" si="18"/>
        <v>Fremia</v>
      </c>
      <c r="C198" t="str">
        <f>"Musikerförbundet"</f>
        <v>Musikerförbundet</v>
      </c>
      <c r="D198" t="str">
        <f>"2020-10-31"</f>
        <v>2020-10-31</v>
      </c>
    </row>
    <row r="199" spans="1:4" x14ac:dyDescent="0.35">
      <c r="A199" t="str">
        <f>"Biografavtal"</f>
        <v>Biografavtal</v>
      </c>
      <c r="B199" t="str">
        <f t="shared" si="18"/>
        <v>Fremia</v>
      </c>
      <c r="C199" t="str">
        <f>"Scen&amp;Film"</f>
        <v>Scen&amp;Film</v>
      </c>
      <c r="D199" t="str">
        <f>"2023-05-31"</f>
        <v>2023-05-31</v>
      </c>
    </row>
    <row r="200" spans="1:4" x14ac:dyDescent="0.35">
      <c r="A200" t="str">
        <f>"Cirkelledare"</f>
        <v>Cirkelledare</v>
      </c>
      <c r="B200" t="str">
        <f t="shared" si="18"/>
        <v>Fremia</v>
      </c>
      <c r="C200" t="str">
        <f>"Scen&amp;Film"</f>
        <v>Scen&amp;Film</v>
      </c>
      <c r="D200" t="str">
        <f>"2025-08-31"</f>
        <v>2025-08-31</v>
      </c>
    </row>
    <row r="201" spans="1:4" x14ac:dyDescent="0.35">
      <c r="A201" t="str">
        <f>"Samhall LO-förbund"</f>
        <v>Samhall LO-förbund</v>
      </c>
      <c r="B201" t="str">
        <f t="shared" si="18"/>
        <v>Fremia</v>
      </c>
      <c r="C201" t="str">
        <f>"Seko, Service- och kommunikationsfacket"</f>
        <v>Seko, Service- och kommunikationsfacket</v>
      </c>
      <c r="D201" t="str">
        <f>"2025-09-30"</f>
        <v>2025-09-30</v>
      </c>
    </row>
    <row r="202" spans="1:4" x14ac:dyDescent="0.35">
      <c r="A202" t="str">
        <f>"Tandläkarmottagningar och tandregleringsverksamheter"</f>
        <v>Tandläkarmottagningar och tandregleringsverksamheter</v>
      </c>
      <c r="B202" t="str">
        <f t="shared" si="18"/>
        <v>Fremia</v>
      </c>
      <c r="C202" t="str">
        <f>"SRAT"</f>
        <v>SRAT</v>
      </c>
      <c r="D202" t="str">
        <f>""</f>
        <v/>
      </c>
    </row>
    <row r="203" spans="1:4" x14ac:dyDescent="0.35">
      <c r="A203" t="str">
        <f>"Ridhusföretag"</f>
        <v>Ridhusföretag</v>
      </c>
      <c r="B203" t="str">
        <f t="shared" si="18"/>
        <v>Fremia</v>
      </c>
      <c r="C203" t="str">
        <f t="shared" ref="C203:C211" si="19">"Svenska Kommunalarbetareförbundet"</f>
        <v>Svenska Kommunalarbetareförbundet</v>
      </c>
      <c r="D203" t="str">
        <f>"2025-05-31"</f>
        <v>2025-05-31</v>
      </c>
    </row>
    <row r="204" spans="1:4" x14ac:dyDescent="0.35">
      <c r="A204" t="str">
        <f>"Jordbruk"</f>
        <v>Jordbruk</v>
      </c>
      <c r="B204" t="str">
        <f t="shared" si="18"/>
        <v>Fremia</v>
      </c>
      <c r="C204" t="str">
        <f t="shared" si="19"/>
        <v>Svenska Kommunalarbetareförbundet</v>
      </c>
      <c r="D204" t="str">
        <f>"2025-06-30"</f>
        <v>2025-06-30</v>
      </c>
    </row>
    <row r="205" spans="1:4" x14ac:dyDescent="0.35">
      <c r="A205" t="str">
        <f>"Samhall LO-förbund"</f>
        <v>Samhall LO-förbund</v>
      </c>
      <c r="B205" t="str">
        <f t="shared" si="18"/>
        <v>Fremia</v>
      </c>
      <c r="C205" t="str">
        <f t="shared" si="19"/>
        <v>Svenska Kommunalarbetareförbundet</v>
      </c>
      <c r="D205" t="str">
        <f>"2025-09-30"</f>
        <v>2025-09-30</v>
      </c>
    </row>
    <row r="206" spans="1:4" x14ac:dyDescent="0.35">
      <c r="A206" t="str">
        <f>"Hälsa, vård och övrig omsorg"</f>
        <v>Hälsa, vård och övrig omsorg</v>
      </c>
      <c r="B206" t="str">
        <f t="shared" si="18"/>
        <v>Fremia</v>
      </c>
      <c r="C206" t="str">
        <f t="shared" si="19"/>
        <v>Svenska Kommunalarbetareförbundet</v>
      </c>
      <c r="D206" t="str">
        <f>"2025-09-30"</f>
        <v>2025-09-30</v>
      </c>
    </row>
    <row r="207" spans="1:4" x14ac:dyDescent="0.35">
      <c r="A207" t="str">
        <f>"Arbetare - Civilsamhället"</f>
        <v>Arbetare - Civilsamhället</v>
      </c>
      <c r="B207" t="str">
        <f t="shared" si="18"/>
        <v>Fremia</v>
      </c>
      <c r="C207" t="str">
        <f t="shared" si="19"/>
        <v>Svenska Kommunalarbetareförbundet</v>
      </c>
      <c r="D207" t="str">
        <f>"2025-09-30"</f>
        <v>2025-09-30</v>
      </c>
    </row>
    <row r="208" spans="1:4" x14ac:dyDescent="0.35">
      <c r="A208" t="str">
        <f>"Arbetskooperativ"</f>
        <v>Arbetskooperativ</v>
      </c>
      <c r="B208" t="str">
        <f t="shared" si="18"/>
        <v>Fremia</v>
      </c>
      <c r="C208" t="str">
        <f t="shared" si="19"/>
        <v>Svenska Kommunalarbetareförbundet</v>
      </c>
      <c r="D208" t="str">
        <f>"2025-09-30"</f>
        <v>2025-09-30</v>
      </c>
    </row>
    <row r="209" spans="1:4" x14ac:dyDescent="0.35">
      <c r="A209" t="str">
        <f>"Hushållsnära tjänster"</f>
        <v>Hushållsnära tjänster</v>
      </c>
      <c r="B209" t="str">
        <f t="shared" si="18"/>
        <v>Fremia</v>
      </c>
      <c r="C209" t="str">
        <f t="shared" si="19"/>
        <v>Svenska Kommunalarbetareförbundet</v>
      </c>
      <c r="D209" t="str">
        <f>"2025-09-30"</f>
        <v>2025-09-30</v>
      </c>
    </row>
    <row r="210" spans="1:4" x14ac:dyDescent="0.35">
      <c r="A210" t="str">
        <f>"Personliga assistenter"</f>
        <v>Personliga assistenter</v>
      </c>
      <c r="B210" t="str">
        <f t="shared" si="18"/>
        <v>Fremia</v>
      </c>
      <c r="C210" t="str">
        <f t="shared" si="19"/>
        <v>Svenska Kommunalarbetareförbundet</v>
      </c>
      <c r="D210" t="str">
        <f>"2025-10-31"</f>
        <v>2025-10-31</v>
      </c>
    </row>
    <row r="211" spans="1:4" x14ac:dyDescent="0.35">
      <c r="A211" t="str">
        <f>"Förskolor, fritidshem och fristående skolor"</f>
        <v>Förskolor, fritidshem och fristående skolor</v>
      </c>
      <c r="B211" t="str">
        <f t="shared" si="18"/>
        <v>Fremia</v>
      </c>
      <c r="C211" t="str">
        <f t="shared" si="19"/>
        <v>Svenska Kommunalarbetareförbundet</v>
      </c>
      <c r="D211" t="str">
        <f>"2025-10-31"</f>
        <v>2025-10-31</v>
      </c>
    </row>
    <row r="212" spans="1:4" x14ac:dyDescent="0.35">
      <c r="A212" t="str">
        <f>"Depåavtalet"</f>
        <v>Depåavtalet</v>
      </c>
      <c r="B212" t="str">
        <f t="shared" si="18"/>
        <v>Fremia</v>
      </c>
      <c r="C212" t="str">
        <f>"Svenska Transportarbetareförbundet"</f>
        <v>Svenska Transportarbetareförbundet</v>
      </c>
      <c r="D212" t="str">
        <f>"2025-03-31"</f>
        <v>2025-03-31</v>
      </c>
    </row>
    <row r="213" spans="1:4" x14ac:dyDescent="0.35">
      <c r="A213" t="str">
        <f>"Bilvårdsanläggningar"</f>
        <v>Bilvårdsanläggningar</v>
      </c>
      <c r="B213" t="str">
        <f t="shared" si="18"/>
        <v>Fremia</v>
      </c>
      <c r="C213" t="str">
        <f>"Svenska Transportarbetareförbundet"</f>
        <v>Svenska Transportarbetareförbundet</v>
      </c>
      <c r="D213" t="str">
        <f>"2025-04-30"</f>
        <v>2025-04-30</v>
      </c>
    </row>
    <row r="214" spans="1:4" x14ac:dyDescent="0.35">
      <c r="A214" t="str">
        <f>"Samhall LO-förbund"</f>
        <v>Samhall LO-förbund</v>
      </c>
      <c r="B214" t="str">
        <f t="shared" si="18"/>
        <v>Fremia</v>
      </c>
      <c r="C214" t="str">
        <f>"Svenska Transportarbetareförbundet"</f>
        <v>Svenska Transportarbetareförbundet</v>
      </c>
      <c r="D214" t="str">
        <f>"2025-09-30"</f>
        <v>2025-09-30</v>
      </c>
    </row>
    <row r="215" spans="1:4" x14ac:dyDescent="0.35">
      <c r="A215" t="str">
        <f>"Folkhögskolor och utbildningsföretag"</f>
        <v>Folkhögskolor och utbildningsföretag</v>
      </c>
      <c r="B215" t="str">
        <f t="shared" si="18"/>
        <v>Fremia</v>
      </c>
      <c r="C215" t="str">
        <f>"Sveriges Lärare"</f>
        <v>Sveriges Lärare</v>
      </c>
      <c r="D215" t="str">
        <f>"2025-04-30"</f>
        <v>2025-04-30</v>
      </c>
    </row>
    <row r="216" spans="1:4" x14ac:dyDescent="0.35">
      <c r="A216" t="str">
        <f>"Enskilda högskolor"</f>
        <v>Enskilda högskolor</v>
      </c>
      <c r="B216" t="str">
        <f t="shared" si="18"/>
        <v>Fremia</v>
      </c>
      <c r="C216" t="str">
        <f>"Sveriges Lärare"</f>
        <v>Sveriges Lärare</v>
      </c>
      <c r="D216" t="str">
        <f>"2025-05-31"</f>
        <v>2025-05-31</v>
      </c>
    </row>
    <row r="217" spans="1:4" x14ac:dyDescent="0.35">
      <c r="A217" t="str">
        <f>"Förskolor, fritidshem och fristående skolor"</f>
        <v>Förskolor, fritidshem och fristående skolor</v>
      </c>
      <c r="B217" t="str">
        <f t="shared" si="18"/>
        <v>Fremia</v>
      </c>
      <c r="C217" t="str">
        <f>"Sveriges Lärare"</f>
        <v>Sveriges Lärare</v>
      </c>
      <c r="D217" t="str">
        <f>"2025-08-31"</f>
        <v>2025-08-31</v>
      </c>
    </row>
    <row r="218" spans="1:4" x14ac:dyDescent="0.35">
      <c r="A218" t="str">
        <f>"Cirkelledare"</f>
        <v>Cirkelledare</v>
      </c>
      <c r="B218" t="str">
        <f t="shared" si="18"/>
        <v>Fremia</v>
      </c>
      <c r="C218" t="str">
        <f>"Sveriges Lärare"</f>
        <v>Sveriges Lärare</v>
      </c>
      <c r="D218" t="str">
        <f>"2025-08-31"</f>
        <v>2025-08-31</v>
      </c>
    </row>
    <row r="219" spans="1:4" x14ac:dyDescent="0.35">
      <c r="A219" t="str">
        <f>"Förskolor, fritidshem och fristående skolor"</f>
        <v>Förskolor, fritidshem och fristående skolor</v>
      </c>
      <c r="B219" t="str">
        <f t="shared" ref="B219:B230" si="20">"Fremia"</f>
        <v>Fremia</v>
      </c>
      <c r="C219" t="str">
        <f>"Sveriges Skolledare"</f>
        <v>Sveriges Skolledare</v>
      </c>
      <c r="D219" t="str">
        <f>"2025-08-31"</f>
        <v>2025-08-31</v>
      </c>
    </row>
    <row r="220" spans="1:4" x14ac:dyDescent="0.35">
      <c r="A220" t="str">
        <f>"Tandläkarmottagningar och tandregleringsverksamheter"</f>
        <v>Tandläkarmottagningar och tandregleringsverksamheter</v>
      </c>
      <c r="B220" t="str">
        <f t="shared" si="20"/>
        <v>Fremia</v>
      </c>
      <c r="C220" t="str">
        <f>"Tjänstetandläkarna"</f>
        <v>Tjänstetandläkarna</v>
      </c>
      <c r="D220" t="str">
        <f>""</f>
        <v/>
      </c>
    </row>
    <row r="221" spans="1:4" x14ac:dyDescent="0.35">
      <c r="A221" t="str">
        <f>"Tjänstemannaavtal (direktanställda tjänstemän)"</f>
        <v>Tjänstemannaavtal (direktanställda tjänstemän)</v>
      </c>
      <c r="B221" t="str">
        <f t="shared" si="20"/>
        <v>Fremia</v>
      </c>
      <c r="C221" t="str">
        <f>"Unionen"</f>
        <v>Unionen</v>
      </c>
      <c r="D221" t="str">
        <f>"2025-03-31"</f>
        <v>2025-03-31</v>
      </c>
    </row>
    <row r="222" spans="1:4" x14ac:dyDescent="0.35">
      <c r="A222" t="str">
        <f>"Tjänstemannaavtal (anvisade tjänstemän)"</f>
        <v>Tjänstemannaavtal (anvisade tjänstemän)</v>
      </c>
      <c r="B222" t="str">
        <f t="shared" si="20"/>
        <v>Fremia</v>
      </c>
      <c r="C222" t="str">
        <f>"Unionen"</f>
        <v>Unionen</v>
      </c>
      <c r="D222" t="str">
        <f>"2025-03-31"</f>
        <v>2025-03-31</v>
      </c>
    </row>
    <row r="223" spans="1:4" x14ac:dyDescent="0.35">
      <c r="A223" t="str">
        <f>"Tjänstemän inom näringslivet"</f>
        <v>Tjänstemän inom näringslivet</v>
      </c>
      <c r="B223" t="str">
        <f t="shared" si="20"/>
        <v>Fremia</v>
      </c>
      <c r="C223" t="str">
        <f>"Unionen"</f>
        <v>Unionen</v>
      </c>
      <c r="D223" t="str">
        <f>"2025-03-31"</f>
        <v>2025-03-31</v>
      </c>
    </row>
    <row r="224" spans="1:4" x14ac:dyDescent="0.35">
      <c r="A224" t="str">
        <f>"Tjänstemän - Civilsamhället"</f>
        <v>Tjänstemän - Civilsamhället</v>
      </c>
      <c r="B224" t="str">
        <f t="shared" si="20"/>
        <v>Fremia</v>
      </c>
      <c r="C224" t="str">
        <f>"Unionen"</f>
        <v>Unionen</v>
      </c>
      <c r="D224" t="str">
        <f>"2025-04-30"</f>
        <v>2025-04-30</v>
      </c>
    </row>
    <row r="225" spans="1:4" x14ac:dyDescent="0.35">
      <c r="A225" t="str">
        <f>"Tjänstemannavtal (Visita)"</f>
        <v>Tjänstemannavtal (Visita)</v>
      </c>
      <c r="B225" t="str">
        <f t="shared" si="20"/>
        <v>Fremia</v>
      </c>
      <c r="C225" t="str">
        <f>"Unionen"</f>
        <v>Unionen</v>
      </c>
      <c r="D225" t="str">
        <f>"2025-05-31"</f>
        <v>2025-05-31</v>
      </c>
    </row>
    <row r="226" spans="1:4" x14ac:dyDescent="0.35">
      <c r="A226" t="str">
        <f>"Tandläkarmottagningar och tandregleringsverksamheter"</f>
        <v>Tandläkarmottagningar och tandregleringsverksamheter</v>
      </c>
      <c r="B226" t="str">
        <f t="shared" si="20"/>
        <v>Fremia</v>
      </c>
      <c r="C226" t="str">
        <f>"Vision"</f>
        <v>Vision</v>
      </c>
      <c r="D226" t="str">
        <f>""</f>
        <v/>
      </c>
    </row>
    <row r="227" spans="1:4" x14ac:dyDescent="0.35">
      <c r="A227" t="str">
        <f>"Enskilda högskolor"</f>
        <v>Enskilda högskolor</v>
      </c>
      <c r="B227" t="str">
        <f t="shared" si="20"/>
        <v>Fremia</v>
      </c>
      <c r="C227" t="str">
        <f>"Vision"</f>
        <v>Vision</v>
      </c>
      <c r="D227" t="str">
        <f>""</f>
        <v/>
      </c>
    </row>
    <row r="228" spans="1:4" x14ac:dyDescent="0.35">
      <c r="A228" t="str">
        <f>"Hälsa, vård och övrig omsorg"</f>
        <v>Hälsa, vård och övrig omsorg</v>
      </c>
      <c r="B228" t="str">
        <f t="shared" si="20"/>
        <v>Fremia</v>
      </c>
      <c r="C228" t="str">
        <f>"Vision"</f>
        <v>Vision</v>
      </c>
      <c r="D228" t="str">
        <f>"2025-05-31"</f>
        <v>2025-05-31</v>
      </c>
    </row>
    <row r="229" spans="1:4" x14ac:dyDescent="0.35">
      <c r="A229" t="str">
        <f>"Förskolor, fritidshem och fristående skolor"</f>
        <v>Förskolor, fritidshem och fristående skolor</v>
      </c>
      <c r="B229" t="str">
        <f t="shared" si="20"/>
        <v>Fremia</v>
      </c>
      <c r="C229" t="str">
        <f>"Vision"</f>
        <v>Vision</v>
      </c>
      <c r="D229" t="str">
        <f>"2025-08-31"</f>
        <v>2025-08-31</v>
      </c>
    </row>
    <row r="230" spans="1:4" x14ac:dyDescent="0.35">
      <c r="A230" t="str">
        <f>"Hälsa, vård och övrig omsorg"</f>
        <v>Hälsa, vård och övrig omsorg</v>
      </c>
      <c r="B230" t="str">
        <f t="shared" si="20"/>
        <v>Fremia</v>
      </c>
      <c r="C230" t="str">
        <f>"Vårdförbundet"</f>
        <v>Vårdförbundet</v>
      </c>
      <c r="D230" t="str">
        <f>"2025-05-31"</f>
        <v>2025-05-31</v>
      </c>
    </row>
    <row r="231" spans="1:4" x14ac:dyDescent="0.35">
      <c r="A231" t="str">
        <f>"Detaljhandeln"</f>
        <v>Detaljhandeln</v>
      </c>
      <c r="B231" t="str">
        <f>"Glasbranschföreningen"</f>
        <v>Glasbranschföreningen</v>
      </c>
      <c r="C231" t="str">
        <f>"Handelsanställdas förbund"</f>
        <v>Handelsanställdas förbund</v>
      </c>
      <c r="D231" t="str">
        <f>"2025-03-31"</f>
        <v>2025-03-31</v>
      </c>
    </row>
    <row r="232" spans="1:4" x14ac:dyDescent="0.35">
      <c r="A232" t="str">
        <f>"Tjänstemannaavtal"</f>
        <v>Tjänstemannaavtal</v>
      </c>
      <c r="B232" t="str">
        <f>"Glasbranschföreningen"</f>
        <v>Glasbranschföreningen</v>
      </c>
      <c r="C232" t="str">
        <f>"Ledarna"</f>
        <v>Ledarna</v>
      </c>
      <c r="D232" t="str">
        <f>""</f>
        <v/>
      </c>
    </row>
    <row r="233" spans="1:4" x14ac:dyDescent="0.35">
      <c r="A233" t="str">
        <f>"Glasmästeri"</f>
        <v>Glasmästeri</v>
      </c>
      <c r="B233" t="str">
        <f>"Glasbranschföreningen"</f>
        <v>Glasbranschföreningen</v>
      </c>
      <c r="C233" t="str">
        <f>"Svenska Byggnadsarbetareförbundet"</f>
        <v>Svenska Byggnadsarbetareförbundet</v>
      </c>
      <c r="D233" t="str">
        <f>"2025-04-30"</f>
        <v>2025-04-30</v>
      </c>
    </row>
    <row r="234" spans="1:4" x14ac:dyDescent="0.35">
      <c r="A234" t="str">
        <f>"Tjänstemannaavtal"</f>
        <v>Tjänstemannaavtal</v>
      </c>
      <c r="B234" t="str">
        <f>"Glasbranschföreningen"</f>
        <v>Glasbranschföreningen</v>
      </c>
      <c r="C234" t="str">
        <f>"Sveriges Ingenjörer"</f>
        <v>Sveriges Ingenjörer</v>
      </c>
      <c r="D234" t="str">
        <f>"2025-04-30"</f>
        <v>2025-04-30</v>
      </c>
    </row>
    <row r="235" spans="1:4" x14ac:dyDescent="0.35">
      <c r="A235" t="str">
        <f>"Tjänstemannaavtal"</f>
        <v>Tjänstemannaavtal</v>
      </c>
      <c r="B235" t="str">
        <f>"Glasbranschföreningen"</f>
        <v>Glasbranschföreningen</v>
      </c>
      <c r="C235" t="str">
        <f>"Unionen"</f>
        <v>Unionen</v>
      </c>
      <c r="D235" t="str">
        <f>"2025-04-30"</f>
        <v>2025-04-30</v>
      </c>
    </row>
    <row r="236" spans="1:4" x14ac:dyDescent="0.35">
      <c r="A236" t="str">
        <f>"Infomediaavtal"</f>
        <v>Infomediaavtal</v>
      </c>
      <c r="B236" t="str">
        <f>"Grafiska Företagens Förbund"</f>
        <v>Grafiska Företagens Förbund</v>
      </c>
      <c r="C236" t="str">
        <f>"GS Facket för skogs-, trä- och grafisk bransch"</f>
        <v>GS Facket för skogs-, trä- och grafisk bransch</v>
      </c>
      <c r="D236" t="str">
        <f>"2025-03-31"</f>
        <v>2025-03-31</v>
      </c>
    </row>
    <row r="237" spans="1:4" x14ac:dyDescent="0.35">
      <c r="A237" t="str">
        <f>"Förpackningsavtal"</f>
        <v>Förpackningsavtal</v>
      </c>
      <c r="B237" t="str">
        <f>"Grafiska Företagens Förbund"</f>
        <v>Grafiska Företagens Förbund</v>
      </c>
      <c r="C237" t="str">
        <f>"GS Facket för skogs-, trä- och grafisk bransch"</f>
        <v>GS Facket för skogs-, trä- och grafisk bransch</v>
      </c>
      <c r="D237" t="str">
        <f>"2025-03-31"</f>
        <v>2025-03-31</v>
      </c>
    </row>
    <row r="238" spans="1:4" x14ac:dyDescent="0.35">
      <c r="A238" t="str">
        <f>"Tjänstemannaavtal"</f>
        <v>Tjänstemannaavtal</v>
      </c>
      <c r="B238" t="str">
        <f>"Grafiska Företagens Förbund"</f>
        <v>Grafiska Företagens Förbund</v>
      </c>
      <c r="C238" t="str">
        <f>"Ledarna"</f>
        <v>Ledarna</v>
      </c>
      <c r="D238" t="str">
        <f>""</f>
        <v/>
      </c>
    </row>
    <row r="239" spans="1:4" x14ac:dyDescent="0.35">
      <c r="A239" t="str">
        <f>"Tjänstemannaavtal"</f>
        <v>Tjänstemannaavtal</v>
      </c>
      <c r="B239" t="str">
        <f>"Grafiska Företagens Förbund"</f>
        <v>Grafiska Företagens Förbund</v>
      </c>
      <c r="C239" t="str">
        <f>"Sveriges Ingenjörer"</f>
        <v>Sveriges Ingenjörer</v>
      </c>
      <c r="D239" t="str">
        <f>"2025-03-31"</f>
        <v>2025-03-31</v>
      </c>
    </row>
    <row r="240" spans="1:4" x14ac:dyDescent="0.35">
      <c r="A240" t="str">
        <f>"Tjänstemannaavtal"</f>
        <v>Tjänstemannaavtal</v>
      </c>
      <c r="B240" t="str">
        <f>"Grafiska Företagens Förbund"</f>
        <v>Grafiska Företagens Förbund</v>
      </c>
      <c r="C240" t="str">
        <f>"Unionen"</f>
        <v>Unionen</v>
      </c>
      <c r="D240" t="str">
        <f>"2025-03-31"</f>
        <v>2025-03-31</v>
      </c>
    </row>
    <row r="241" spans="1:4" x14ac:dyDescent="0.35">
      <c r="A241" t="str">
        <f>"Virkesmätning"</f>
        <v>Virkesmätning</v>
      </c>
      <c r="B241" t="str">
        <f t="shared" ref="B241:B264" si="21">"Gröna arbetsgivare"</f>
        <v>Gröna arbetsgivare</v>
      </c>
      <c r="C241" t="str">
        <f>"GS Facket för skogs-, trä- och grafisk bransch"</f>
        <v>GS Facket för skogs-, trä- och grafisk bransch</v>
      </c>
      <c r="D241" t="str">
        <f>"2025-03-31"</f>
        <v>2025-03-31</v>
      </c>
    </row>
    <row r="242" spans="1:4" x14ac:dyDescent="0.35">
      <c r="A242" t="str">
        <f>"Skogsbruk"</f>
        <v>Skogsbruk</v>
      </c>
      <c r="B242" t="str">
        <f t="shared" si="21"/>
        <v>Gröna arbetsgivare</v>
      </c>
      <c r="C242" t="str">
        <f>"GS Facket för skogs-, trä- och grafisk bransch"</f>
        <v>GS Facket för skogs-, trä- och grafisk bransch</v>
      </c>
      <c r="D242" t="str">
        <f>"2025-03-31"</f>
        <v>2025-03-31</v>
      </c>
    </row>
    <row r="243" spans="1:4" x14ac:dyDescent="0.35">
      <c r="A243" t="str">
        <f>"Golf, Trädgårdsodlingar, Trädgårdsanläggningar"</f>
        <v>Golf, Trädgårdsodlingar, Trädgårdsanläggningar</v>
      </c>
      <c r="B243" t="str">
        <f t="shared" si="21"/>
        <v>Gröna arbetsgivare</v>
      </c>
      <c r="C243" t="str">
        <f>"Ledarna"</f>
        <v>Ledarna</v>
      </c>
      <c r="D243" t="str">
        <f>""</f>
        <v/>
      </c>
    </row>
    <row r="244" spans="1:4" x14ac:dyDescent="0.35">
      <c r="A244" t="str">
        <f>"Hushållningssällskap och Husdjursföreningar"</f>
        <v>Hushållningssällskap och Husdjursföreningar</v>
      </c>
      <c r="B244" t="str">
        <f t="shared" si="21"/>
        <v>Gröna arbetsgivare</v>
      </c>
      <c r="C244" t="str">
        <f>"Ledarna"</f>
        <v>Ledarna</v>
      </c>
      <c r="D244" t="str">
        <f>""</f>
        <v/>
      </c>
    </row>
    <row r="245" spans="1:4" x14ac:dyDescent="0.35">
      <c r="A245" t="str">
        <f>"Tjänstemannaavtal Skogsbruk"</f>
        <v>Tjänstemannaavtal Skogsbruk</v>
      </c>
      <c r="B245" t="str">
        <f t="shared" si="21"/>
        <v>Gröna arbetsgivare</v>
      </c>
      <c r="C245" t="str">
        <f>"Ledarna"</f>
        <v>Ledarna</v>
      </c>
      <c r="D245" t="str">
        <f>""</f>
        <v/>
      </c>
    </row>
    <row r="246" spans="1:4" x14ac:dyDescent="0.35">
      <c r="A246" t="str">
        <f>"Tjänstemannaavtal Skogsbruk"</f>
        <v>Tjänstemannaavtal Skogsbruk</v>
      </c>
      <c r="B246" t="str">
        <f t="shared" si="21"/>
        <v>Gröna arbetsgivare</v>
      </c>
      <c r="C246" t="str">
        <f>"Naturvetarna"</f>
        <v>Naturvetarna</v>
      </c>
      <c r="D246" t="str">
        <f>"2025-03-31"</f>
        <v>2025-03-31</v>
      </c>
    </row>
    <row r="247" spans="1:4" x14ac:dyDescent="0.35">
      <c r="A247" t="str">
        <f>"Tjänstemän inom Hushållningssällskap och Husdjursföreningar"</f>
        <v>Tjänstemän inom Hushållningssällskap och Husdjursföreningar</v>
      </c>
      <c r="B247" t="str">
        <f t="shared" si="21"/>
        <v>Gröna arbetsgivare</v>
      </c>
      <c r="C247" t="str">
        <f>"Naturvetarna"</f>
        <v>Naturvetarna</v>
      </c>
      <c r="D247" t="str">
        <f>"2025-05-31"</f>
        <v>2025-05-31</v>
      </c>
    </row>
    <row r="248" spans="1:4" x14ac:dyDescent="0.35">
      <c r="A248" t="str">
        <f>"Tjänstemannaavtal inom Trädgårdsodling och Trädgårdsanläggning"</f>
        <v>Tjänstemannaavtal inom Trädgårdsodling och Trädgårdsanläggning</v>
      </c>
      <c r="B248" t="str">
        <f t="shared" si="21"/>
        <v>Gröna arbetsgivare</v>
      </c>
      <c r="C248" t="str">
        <f>"Naturvetarna"</f>
        <v>Naturvetarna</v>
      </c>
      <c r="D248" t="str">
        <f>"2025-05-31"</f>
        <v>2025-05-31</v>
      </c>
    </row>
    <row r="249" spans="1:4" x14ac:dyDescent="0.35">
      <c r="A249" t="str">
        <f>"Tjänstemän inom Jordbruksrelaterade företag"</f>
        <v>Tjänstemän inom Jordbruksrelaterade företag</v>
      </c>
      <c r="B249" t="str">
        <f t="shared" si="21"/>
        <v>Gröna arbetsgivare</v>
      </c>
      <c r="C249" t="str">
        <f>"Naturvetarna"</f>
        <v>Naturvetarna</v>
      </c>
      <c r="D249" t="str">
        <f>"2025-05-31"</f>
        <v>2025-05-31</v>
      </c>
    </row>
    <row r="250" spans="1:4" x14ac:dyDescent="0.35">
      <c r="A250" t="str">
        <f>"Golfbanor"</f>
        <v>Golfbanor</v>
      </c>
      <c r="B250" t="str">
        <f t="shared" si="21"/>
        <v>Gröna arbetsgivare</v>
      </c>
      <c r="C250" t="str">
        <f>"Svenska Kommunalarbetareförbundet"</f>
        <v>Svenska Kommunalarbetareförbundet</v>
      </c>
      <c r="D250" t="str">
        <f>"2025-04-30"</f>
        <v>2025-04-30</v>
      </c>
    </row>
    <row r="251" spans="1:4" x14ac:dyDescent="0.35">
      <c r="A251" t="str">
        <f>"Trädgårdsanläggning"</f>
        <v>Trädgårdsanläggning</v>
      </c>
      <c r="B251" t="str">
        <f t="shared" si="21"/>
        <v>Gröna arbetsgivare</v>
      </c>
      <c r="C251" t="str">
        <f>"Svenska Kommunalarbetareförbundet"</f>
        <v>Svenska Kommunalarbetareförbundet</v>
      </c>
      <c r="D251" t="str">
        <f>"2025-04-30"</f>
        <v>2025-04-30</v>
      </c>
    </row>
    <row r="252" spans="1:4" x14ac:dyDescent="0.35">
      <c r="A252" t="str">
        <f>"Trädgårdsodling"</f>
        <v>Trädgårdsodling</v>
      </c>
      <c r="B252" t="str">
        <f t="shared" si="21"/>
        <v>Gröna arbetsgivare</v>
      </c>
      <c r="C252" t="str">
        <f>"Svenska Kommunalarbetareförbundet"</f>
        <v>Svenska Kommunalarbetareförbundet</v>
      </c>
      <c r="D252" t="str">
        <f>"2025-05-31"</f>
        <v>2025-05-31</v>
      </c>
    </row>
    <row r="253" spans="1:4" x14ac:dyDescent="0.35">
      <c r="A253" t="str">
        <f>"Kollektivavtal för Lantbruk, djurpark och vattenbruk"</f>
        <v>Kollektivavtal för Lantbruk, djurpark och vattenbruk</v>
      </c>
      <c r="B253" t="str">
        <f t="shared" si="21"/>
        <v>Gröna arbetsgivare</v>
      </c>
      <c r="C253" t="str">
        <f>"Svenska Kommunalarbetareförbundet"</f>
        <v>Svenska Kommunalarbetareförbundet</v>
      </c>
      <c r="D253" t="str">
        <f>"2025-06-30"</f>
        <v>2025-06-30</v>
      </c>
    </row>
    <row r="254" spans="1:4" x14ac:dyDescent="0.35">
      <c r="A254" t="str">
        <f>"Djursjukvård"</f>
        <v>Djursjukvård</v>
      </c>
      <c r="B254" t="str">
        <f t="shared" si="21"/>
        <v>Gröna arbetsgivare</v>
      </c>
      <c r="C254" t="str">
        <f>"Svenska Kommunalarbetareförbundet"</f>
        <v>Svenska Kommunalarbetareförbundet</v>
      </c>
      <c r="D254" t="str">
        <f>"2025-06-30"</f>
        <v>2025-06-30</v>
      </c>
    </row>
    <row r="255" spans="1:4" x14ac:dyDescent="0.35">
      <c r="A255" t="str">
        <f>"Tjänstemannaavtal Skogsbruk"</f>
        <v>Tjänstemannaavtal Skogsbruk</v>
      </c>
      <c r="B255" t="str">
        <f t="shared" si="21"/>
        <v>Gröna arbetsgivare</v>
      </c>
      <c r="C255" t="str">
        <f>"Sveriges Ingenjörer"</f>
        <v>Sveriges Ingenjörer</v>
      </c>
      <c r="D255" t="str">
        <f>"2025-03-31"</f>
        <v>2025-03-31</v>
      </c>
    </row>
    <row r="256" spans="1:4" x14ac:dyDescent="0.35">
      <c r="A256" t="str">
        <f>"Djursjukvård och Djurparker"</f>
        <v>Djursjukvård och Djurparker</v>
      </c>
      <c r="B256" t="str">
        <f t="shared" si="21"/>
        <v>Gröna arbetsgivare</v>
      </c>
      <c r="C256" t="str">
        <f>"Sveriges Veterinärförbund"</f>
        <v>Sveriges Veterinärförbund</v>
      </c>
      <c r="D256" t="str">
        <f>"2025-05-31"</f>
        <v>2025-05-31</v>
      </c>
    </row>
    <row r="257" spans="1:4" x14ac:dyDescent="0.35">
      <c r="A257" t="str">
        <f>"Hushållningssällskap och Husdjursföreningar"</f>
        <v>Hushållningssällskap och Husdjursföreningar</v>
      </c>
      <c r="B257" t="str">
        <f t="shared" si="21"/>
        <v>Gröna arbetsgivare</v>
      </c>
      <c r="C257" t="str">
        <f>"Sveriges Veterinärförbund"</f>
        <v>Sveriges Veterinärförbund</v>
      </c>
      <c r="D257" t="str">
        <f>"2025-05-31"</f>
        <v>2025-05-31</v>
      </c>
    </row>
    <row r="258" spans="1:4" x14ac:dyDescent="0.35">
      <c r="A258" t="str">
        <f>"Virkesmätning"</f>
        <v>Virkesmätning</v>
      </c>
      <c r="B258" t="str">
        <f t="shared" si="21"/>
        <v>Gröna arbetsgivare</v>
      </c>
      <c r="C258" t="str">
        <f t="shared" ref="C258:C264" si="22">"Unionen"</f>
        <v>Unionen</v>
      </c>
      <c r="D258" t="str">
        <f>"2025-03-31"</f>
        <v>2025-03-31</v>
      </c>
    </row>
    <row r="259" spans="1:4" x14ac:dyDescent="0.35">
      <c r="A259" t="str">
        <f>"Tjänstemannaavtal Skogsbruk"</f>
        <v>Tjänstemannaavtal Skogsbruk</v>
      </c>
      <c r="B259" t="str">
        <f t="shared" si="21"/>
        <v>Gröna arbetsgivare</v>
      </c>
      <c r="C259" t="str">
        <f t="shared" si="22"/>
        <v>Unionen</v>
      </c>
      <c r="D259" t="str">
        <f>"2025-03-31"</f>
        <v>2025-03-31</v>
      </c>
    </row>
    <row r="260" spans="1:4" x14ac:dyDescent="0.35">
      <c r="A260" t="str">
        <f>"Tjänstemannaavtal Jordbruksrelaterade företag"</f>
        <v>Tjänstemannaavtal Jordbruksrelaterade företag</v>
      </c>
      <c r="B260" t="str">
        <f t="shared" si="21"/>
        <v>Gröna arbetsgivare</v>
      </c>
      <c r="C260" t="str">
        <f t="shared" si="22"/>
        <v>Unionen</v>
      </c>
      <c r="D260" t="str">
        <f>"2025-05-31"</f>
        <v>2025-05-31</v>
      </c>
    </row>
    <row r="261" spans="1:4" x14ac:dyDescent="0.35">
      <c r="A261" t="str">
        <f>"Tjänstemannaavtal inom Trädgårdsodling och Trädgårdsanläggning"</f>
        <v>Tjänstemannaavtal inom Trädgårdsodling och Trädgårdsanläggning</v>
      </c>
      <c r="B261" t="str">
        <f t="shared" si="21"/>
        <v>Gröna arbetsgivare</v>
      </c>
      <c r="C261" t="str">
        <f t="shared" si="22"/>
        <v>Unionen</v>
      </c>
      <c r="D261" t="str">
        <f>"2025-05-31"</f>
        <v>2025-05-31</v>
      </c>
    </row>
    <row r="262" spans="1:4" x14ac:dyDescent="0.35">
      <c r="A262" t="str">
        <f>"Tjänstemän inom Djursjukvård och Djurparker"</f>
        <v>Tjänstemän inom Djursjukvård och Djurparker</v>
      </c>
      <c r="B262" t="str">
        <f t="shared" si="21"/>
        <v>Gröna arbetsgivare</v>
      </c>
      <c r="C262" t="str">
        <f t="shared" si="22"/>
        <v>Unionen</v>
      </c>
      <c r="D262" t="str">
        <f>"2025-05-31"</f>
        <v>2025-05-31</v>
      </c>
    </row>
    <row r="263" spans="1:4" x14ac:dyDescent="0.35">
      <c r="A263" t="str">
        <f>"Tjänstemän inom Golf"</f>
        <v>Tjänstemän inom Golf</v>
      </c>
      <c r="B263" t="str">
        <f t="shared" si="21"/>
        <v>Gröna arbetsgivare</v>
      </c>
      <c r="C263" t="str">
        <f t="shared" si="22"/>
        <v>Unionen</v>
      </c>
      <c r="D263" t="str">
        <f>"2025-05-31"</f>
        <v>2025-05-31</v>
      </c>
    </row>
    <row r="264" spans="1:4" x14ac:dyDescent="0.35">
      <c r="A264" t="str">
        <f>"Tjänstemän inom Hushållningssällskap och Husdjursföreningar"</f>
        <v>Tjänstemän inom Hushållningssällskap och Husdjursföreningar</v>
      </c>
      <c r="B264" t="str">
        <f t="shared" si="21"/>
        <v>Gröna arbetsgivare</v>
      </c>
      <c r="C264" t="str">
        <f t="shared" si="22"/>
        <v>Unionen</v>
      </c>
      <c r="D264" t="str">
        <f>"2025-05-31"</f>
        <v>2025-05-31</v>
      </c>
    </row>
    <row r="265" spans="1:4" x14ac:dyDescent="0.35">
      <c r="A265" t="str">
        <f>"I-avtalet"</f>
        <v>I-avtalet</v>
      </c>
      <c r="B265" t="str">
        <f t="shared" ref="B265:B277" si="23">"IKEM – Innovations-och kemiarbetsgivarna"</f>
        <v>IKEM – Innovations-och kemiarbetsgivarna</v>
      </c>
      <c r="C265" t="str">
        <f t="shared" ref="C265:C273" si="24">"IF Metall"</f>
        <v>IF Metall</v>
      </c>
      <c r="D265" t="str">
        <f>"2025-03-31"</f>
        <v>2025-03-31</v>
      </c>
    </row>
    <row r="266" spans="1:4" x14ac:dyDescent="0.35">
      <c r="A266" t="str">
        <f>"Återvinning"</f>
        <v>Återvinning</v>
      </c>
      <c r="B266" t="str">
        <f t="shared" si="23"/>
        <v>IKEM – Innovations-och kemiarbetsgivarna</v>
      </c>
      <c r="C266" t="str">
        <f t="shared" si="24"/>
        <v>IF Metall</v>
      </c>
      <c r="D266" t="str">
        <f>"2025-03-31"</f>
        <v>2025-03-31</v>
      </c>
    </row>
    <row r="267" spans="1:4" x14ac:dyDescent="0.35">
      <c r="A267" t="str">
        <f>"Kemiska fabriker"</f>
        <v>Kemiska fabriker</v>
      </c>
      <c r="B267" t="str">
        <f t="shared" si="23"/>
        <v>IKEM – Innovations-och kemiarbetsgivarna</v>
      </c>
      <c r="C267" t="str">
        <f t="shared" si="24"/>
        <v>IF Metall</v>
      </c>
      <c r="D267" t="str">
        <f>"2025-03-31"</f>
        <v>2025-03-31</v>
      </c>
    </row>
    <row r="268" spans="1:4" x14ac:dyDescent="0.35">
      <c r="A268" t="str">
        <f>"Gemensamma Metallavtalet"</f>
        <v>Gemensamma Metallavtalet</v>
      </c>
      <c r="B268" t="str">
        <f t="shared" si="23"/>
        <v>IKEM – Innovations-och kemiarbetsgivarna</v>
      </c>
      <c r="C268" t="str">
        <f t="shared" si="24"/>
        <v>IF Metall</v>
      </c>
      <c r="D268" t="str">
        <f>"2025-03-31"</f>
        <v>2025-03-31</v>
      </c>
    </row>
    <row r="269" spans="1:4" x14ac:dyDescent="0.35">
      <c r="A269" t="str">
        <f>"Sockerindustrin"</f>
        <v>Sockerindustrin</v>
      </c>
      <c r="B269" t="str">
        <f t="shared" si="23"/>
        <v>IKEM – Innovations-och kemiarbetsgivarna</v>
      </c>
      <c r="C269" t="str">
        <f t="shared" si="24"/>
        <v>IF Metall</v>
      </c>
      <c r="D269" t="str">
        <f>"2025-05-31"</f>
        <v>2025-05-31</v>
      </c>
    </row>
    <row r="270" spans="1:4" x14ac:dyDescent="0.35">
      <c r="A270" t="str">
        <f>"Oljeraffinaderier"</f>
        <v>Oljeraffinaderier</v>
      </c>
      <c r="B270" t="str">
        <f t="shared" si="23"/>
        <v>IKEM – Innovations-och kemiarbetsgivarna</v>
      </c>
      <c r="C270" t="str">
        <f t="shared" si="24"/>
        <v>IF Metall</v>
      </c>
      <c r="D270" t="str">
        <f>"2025-05-31"</f>
        <v>2025-05-31</v>
      </c>
    </row>
    <row r="271" spans="1:4" x14ac:dyDescent="0.35">
      <c r="A271" t="str">
        <f>"Glasindustri"</f>
        <v>Glasindustri</v>
      </c>
      <c r="B271" t="str">
        <f t="shared" si="23"/>
        <v>IKEM – Innovations-och kemiarbetsgivarna</v>
      </c>
      <c r="C271" t="str">
        <f t="shared" si="24"/>
        <v>IF Metall</v>
      </c>
      <c r="D271" t="str">
        <f>"2025-05-31"</f>
        <v>2025-05-31</v>
      </c>
    </row>
    <row r="272" spans="1:4" x14ac:dyDescent="0.35">
      <c r="A272" t="str">
        <f>"Tvättindustri"</f>
        <v>Tvättindustri</v>
      </c>
      <c r="B272" t="str">
        <f t="shared" si="23"/>
        <v>IKEM – Innovations-och kemiarbetsgivarna</v>
      </c>
      <c r="C272" t="str">
        <f t="shared" si="24"/>
        <v>IF Metall</v>
      </c>
      <c r="D272" t="str">
        <f>"2025-06-30"</f>
        <v>2025-06-30</v>
      </c>
    </row>
    <row r="273" spans="1:4" x14ac:dyDescent="0.35">
      <c r="A273" t="str">
        <f>"Explosivämnesindustri"</f>
        <v>Explosivämnesindustri</v>
      </c>
      <c r="B273" t="str">
        <f t="shared" si="23"/>
        <v>IKEM – Innovations-och kemiarbetsgivarna</v>
      </c>
      <c r="C273" t="str">
        <f t="shared" si="24"/>
        <v>IF Metall</v>
      </c>
      <c r="D273" t="str">
        <f>"2025-06-30"</f>
        <v>2025-06-30</v>
      </c>
    </row>
    <row r="274" spans="1:4" x14ac:dyDescent="0.35">
      <c r="A274" t="str">
        <f>"Tjänstemannaavtal"</f>
        <v>Tjänstemannaavtal</v>
      </c>
      <c r="B274" t="str">
        <f t="shared" si="23"/>
        <v>IKEM – Innovations-och kemiarbetsgivarna</v>
      </c>
      <c r="C274" t="str">
        <f>"Ledarna"</f>
        <v>Ledarna</v>
      </c>
      <c r="D274" t="str">
        <f>"2025-03-31"</f>
        <v>2025-03-31</v>
      </c>
    </row>
    <row r="275" spans="1:4" x14ac:dyDescent="0.35">
      <c r="A275" t="str">
        <f>"Tjänstemannaavtal"</f>
        <v>Tjänstemannaavtal</v>
      </c>
      <c r="B275" t="str">
        <f t="shared" si="23"/>
        <v>IKEM – Innovations-och kemiarbetsgivarna</v>
      </c>
      <c r="C275" t="str">
        <f>"Naturvetarna"</f>
        <v>Naturvetarna</v>
      </c>
      <c r="D275" t="str">
        <f>"2025-03-31"</f>
        <v>2025-03-31</v>
      </c>
    </row>
    <row r="276" spans="1:4" x14ac:dyDescent="0.35">
      <c r="A276" t="str">
        <f>"Tjänstemannaavtal"</f>
        <v>Tjänstemannaavtal</v>
      </c>
      <c r="B276" t="str">
        <f t="shared" si="23"/>
        <v>IKEM – Innovations-och kemiarbetsgivarna</v>
      </c>
      <c r="C276" t="str">
        <f>"Sveriges Ingenjörer"</f>
        <v>Sveriges Ingenjörer</v>
      </c>
      <c r="D276" t="str">
        <f>"2025-03-31"</f>
        <v>2025-03-31</v>
      </c>
    </row>
    <row r="277" spans="1:4" x14ac:dyDescent="0.35">
      <c r="A277" t="str">
        <f>"Tjänstemannaavtal"</f>
        <v>Tjänstemannaavtal</v>
      </c>
      <c r="B277" t="str">
        <f t="shared" si="23"/>
        <v>IKEM – Innovations-och kemiarbetsgivarna</v>
      </c>
      <c r="C277" t="str">
        <f>"Unionen"</f>
        <v>Unionen</v>
      </c>
      <c r="D277" t="str">
        <f>"2025-03-31"</f>
        <v>2025-03-31</v>
      </c>
    </row>
    <row r="278" spans="1:4" x14ac:dyDescent="0.35">
      <c r="A278" t="str">
        <f>"Byggnadsämnesindustri"</f>
        <v>Byggnadsämnesindustri</v>
      </c>
      <c r="B278" t="str">
        <f>"Industriarbetsgivarna (Byggnadsämnesindustrin)"</f>
        <v>Industriarbetsgivarna (Byggnadsämnesindustrin)</v>
      </c>
      <c r="C278" t="str">
        <f>"IF Metall"</f>
        <v>IF Metall</v>
      </c>
      <c r="D278" t="str">
        <f>"2025-05-31"</f>
        <v>2025-05-31</v>
      </c>
    </row>
    <row r="279" spans="1:4" x14ac:dyDescent="0.35">
      <c r="A279" t="str">
        <f>"Buteljglasindustri"</f>
        <v>Buteljglasindustri</v>
      </c>
      <c r="B279" t="str">
        <f>"Industriarbetsgivarna (Byggnadsämnesindustrin)"</f>
        <v>Industriarbetsgivarna (Byggnadsämnesindustrin)</v>
      </c>
      <c r="C279" t="str">
        <f>"IF Metall"</f>
        <v>IF Metall</v>
      </c>
      <c r="D279" t="str">
        <f>"2025-05-31"</f>
        <v>2025-05-31</v>
      </c>
    </row>
    <row r="280" spans="1:4" x14ac:dyDescent="0.35">
      <c r="A280" t="str">
        <f>"Tjänstemannaavtal"</f>
        <v>Tjänstemannaavtal</v>
      </c>
      <c r="B280" t="str">
        <f>"Industriarbetsgivarna (Byggnadsämnesindustrin)"</f>
        <v>Industriarbetsgivarna (Byggnadsämnesindustrin)</v>
      </c>
      <c r="C280" t="str">
        <f>"Ledarna"</f>
        <v>Ledarna</v>
      </c>
      <c r="D280" t="str">
        <f>""</f>
        <v/>
      </c>
    </row>
    <row r="281" spans="1:4" x14ac:dyDescent="0.35">
      <c r="A281" t="str">
        <f>"Tjänstemannaavtal"</f>
        <v>Tjänstemannaavtal</v>
      </c>
      <c r="B281" t="str">
        <f>"Industriarbetsgivarna (Byggnadsämnesindustrin)"</f>
        <v>Industriarbetsgivarna (Byggnadsämnesindustrin)</v>
      </c>
      <c r="C281" t="str">
        <f>"Sveriges Ingenjörer"</f>
        <v>Sveriges Ingenjörer</v>
      </c>
      <c r="D281" t="str">
        <f>"2025-03-31"</f>
        <v>2025-03-31</v>
      </c>
    </row>
    <row r="282" spans="1:4" x14ac:dyDescent="0.35">
      <c r="A282" t="str">
        <f>"Tjänstemannaavtal"</f>
        <v>Tjänstemannaavtal</v>
      </c>
      <c r="B282" t="str">
        <f>"Industriarbetsgivarna (Byggnadsämnesindustrin)"</f>
        <v>Industriarbetsgivarna (Byggnadsämnesindustrin)</v>
      </c>
      <c r="C282" t="str">
        <f>"Unionen"</f>
        <v>Unionen</v>
      </c>
      <c r="D282" t="str">
        <f>"2025-03-31"</f>
        <v>2025-03-31</v>
      </c>
    </row>
    <row r="283" spans="1:4" x14ac:dyDescent="0.35">
      <c r="A283" t="str">
        <f>"Gruvindustri"</f>
        <v>Gruvindustri</v>
      </c>
      <c r="B283" t="str">
        <f>"industriarbetsgivarna (Gruvorna)"</f>
        <v>industriarbetsgivarna (Gruvorna)</v>
      </c>
      <c r="C283" t="str">
        <f>"IF Metall"</f>
        <v>IF Metall</v>
      </c>
      <c r="D283" t="str">
        <f>"2025-03-31"</f>
        <v>2025-03-31</v>
      </c>
    </row>
    <row r="284" spans="1:4" x14ac:dyDescent="0.35">
      <c r="A284" t="str">
        <f>"Gruvindustri"</f>
        <v>Gruvindustri</v>
      </c>
      <c r="B284" t="str">
        <f>"industriarbetsgivarna (Gruvorna)"</f>
        <v>industriarbetsgivarna (Gruvorna)</v>
      </c>
      <c r="C284" t="str">
        <f>"Ledarna"</f>
        <v>Ledarna</v>
      </c>
      <c r="D284" t="str">
        <f>""</f>
        <v/>
      </c>
    </row>
    <row r="285" spans="1:4" x14ac:dyDescent="0.35">
      <c r="A285" t="str">
        <f>"Gruvindustri"</f>
        <v>Gruvindustri</v>
      </c>
      <c r="B285" t="str">
        <f>"industriarbetsgivarna (Gruvorna)"</f>
        <v>industriarbetsgivarna (Gruvorna)</v>
      </c>
      <c r="C285" t="str">
        <f>"Sveriges Ingenjörer"</f>
        <v>Sveriges Ingenjörer</v>
      </c>
      <c r="D285" t="str">
        <f>"2025-03-31"</f>
        <v>2025-03-31</v>
      </c>
    </row>
    <row r="286" spans="1:4" x14ac:dyDescent="0.35">
      <c r="A286" t="str">
        <f>"Gruvindustri"</f>
        <v>Gruvindustri</v>
      </c>
      <c r="B286" t="str">
        <f>"industriarbetsgivarna (Gruvorna)"</f>
        <v>industriarbetsgivarna (Gruvorna)</v>
      </c>
      <c r="C286" t="str">
        <f>"Unionen"</f>
        <v>Unionen</v>
      </c>
      <c r="D286" t="str">
        <f>"2025-03-31"</f>
        <v>2025-03-31</v>
      </c>
    </row>
    <row r="287" spans="1:4" x14ac:dyDescent="0.35">
      <c r="A287" t="str">
        <f>"Sågverksindustri"</f>
        <v>Sågverksindustri</v>
      </c>
      <c r="B287" t="str">
        <f t="shared" ref="B287:B294" si="25">"Industriarbetsgivarna (Skogsindustrier)"</f>
        <v>Industriarbetsgivarna (Skogsindustrier)</v>
      </c>
      <c r="C287" t="str">
        <f>"GS Facket för skogs-, trä- och grafisk bransch"</f>
        <v>GS Facket för skogs-, trä- och grafisk bransch</v>
      </c>
      <c r="D287" t="str">
        <f>"2025-03-31"</f>
        <v>2025-03-31</v>
      </c>
    </row>
    <row r="288" spans="1:4" x14ac:dyDescent="0.35">
      <c r="A288" t="str">
        <f>"Sågverksindustri"</f>
        <v>Sågverksindustri</v>
      </c>
      <c r="B288" t="str">
        <f t="shared" si="25"/>
        <v>Industriarbetsgivarna (Skogsindustrier)</v>
      </c>
      <c r="C288" t="str">
        <f>"Ledarna"</f>
        <v>Ledarna</v>
      </c>
      <c r="D288" t="str">
        <f>""</f>
        <v/>
      </c>
    </row>
    <row r="289" spans="1:4" x14ac:dyDescent="0.35">
      <c r="A289" t="str">
        <f>"Massa- och Pappersindustri"</f>
        <v>Massa- och Pappersindustri</v>
      </c>
      <c r="B289" t="str">
        <f t="shared" si="25"/>
        <v>Industriarbetsgivarna (Skogsindustrier)</v>
      </c>
      <c r="C289" t="str">
        <f>"Ledarna"</f>
        <v>Ledarna</v>
      </c>
      <c r="D289" t="str">
        <f t="shared" ref="D289:D295" si="26">"2025-03-31"</f>
        <v>2025-03-31</v>
      </c>
    </row>
    <row r="290" spans="1:4" x14ac:dyDescent="0.35">
      <c r="A290" t="str">
        <f>"Massa- och Pappersindustri"</f>
        <v>Massa- och Pappersindustri</v>
      </c>
      <c r="B290" t="str">
        <f t="shared" si="25"/>
        <v>Industriarbetsgivarna (Skogsindustrier)</v>
      </c>
      <c r="C290" t="str">
        <f>"Svenska Pappersindustriarbetareförbundet"</f>
        <v>Svenska Pappersindustriarbetareförbundet</v>
      </c>
      <c r="D290" t="str">
        <f t="shared" si="26"/>
        <v>2025-03-31</v>
      </c>
    </row>
    <row r="291" spans="1:4" x14ac:dyDescent="0.35">
      <c r="A291" t="str">
        <f>"Sågverksindustri"</f>
        <v>Sågverksindustri</v>
      </c>
      <c r="B291" t="str">
        <f t="shared" si="25"/>
        <v>Industriarbetsgivarna (Skogsindustrier)</v>
      </c>
      <c r="C291" t="str">
        <f>"Sveriges Ingenjörer"</f>
        <v>Sveriges Ingenjörer</v>
      </c>
      <c r="D291" t="str">
        <f t="shared" si="26"/>
        <v>2025-03-31</v>
      </c>
    </row>
    <row r="292" spans="1:4" x14ac:dyDescent="0.35">
      <c r="A292" t="str">
        <f>"Massa- och Pappersindustri"</f>
        <v>Massa- och Pappersindustri</v>
      </c>
      <c r="B292" t="str">
        <f t="shared" si="25"/>
        <v>Industriarbetsgivarna (Skogsindustrier)</v>
      </c>
      <c r="C292" t="str">
        <f>"Sveriges Ingenjörer"</f>
        <v>Sveriges Ingenjörer</v>
      </c>
      <c r="D292" t="str">
        <f t="shared" si="26"/>
        <v>2025-03-31</v>
      </c>
    </row>
    <row r="293" spans="1:4" x14ac:dyDescent="0.35">
      <c r="A293" t="str">
        <f>"Sågverksindustri"</f>
        <v>Sågverksindustri</v>
      </c>
      <c r="B293" t="str">
        <f t="shared" si="25"/>
        <v>Industriarbetsgivarna (Skogsindustrier)</v>
      </c>
      <c r="C293" t="str">
        <f>"Unionen"</f>
        <v>Unionen</v>
      </c>
      <c r="D293" t="str">
        <f t="shared" si="26"/>
        <v>2025-03-31</v>
      </c>
    </row>
    <row r="294" spans="1:4" x14ac:dyDescent="0.35">
      <c r="A294" t="str">
        <f>"Massa- och Pappersindustri"</f>
        <v>Massa- och Pappersindustri</v>
      </c>
      <c r="B294" t="str">
        <f t="shared" si="25"/>
        <v>Industriarbetsgivarna (Skogsindustrier)</v>
      </c>
      <c r="C294" t="str">
        <f>"Unionen"</f>
        <v>Unionen</v>
      </c>
      <c r="D294" t="str">
        <f t="shared" si="26"/>
        <v>2025-03-31</v>
      </c>
    </row>
    <row r="295" spans="1:4" x14ac:dyDescent="0.35">
      <c r="A295" t="str">
        <f>"Stål- och Metallindustri"</f>
        <v>Stål- och Metallindustri</v>
      </c>
      <c r="B295" t="str">
        <f>"Industriarbetsgivarna (Stål och Metall)"</f>
        <v>Industriarbetsgivarna (Stål och Metall)</v>
      </c>
      <c r="C295" t="str">
        <f>"IF Metall"</f>
        <v>IF Metall</v>
      </c>
      <c r="D295" t="str">
        <f t="shared" si="26"/>
        <v>2025-03-31</v>
      </c>
    </row>
    <row r="296" spans="1:4" x14ac:dyDescent="0.35">
      <c r="A296" t="str">
        <f>"Stål- och Metallindustri"</f>
        <v>Stål- och Metallindustri</v>
      </c>
      <c r="B296" t="str">
        <f>"Industriarbetsgivarna (Stål och Metall)"</f>
        <v>Industriarbetsgivarna (Stål och Metall)</v>
      </c>
      <c r="C296" t="str">
        <f>"Ledarna"</f>
        <v>Ledarna</v>
      </c>
      <c r="D296" t="str">
        <f>""</f>
        <v/>
      </c>
    </row>
    <row r="297" spans="1:4" x14ac:dyDescent="0.35">
      <c r="A297" t="str">
        <f>"Blåa avtalet"</f>
        <v>Blåa avtalet</v>
      </c>
      <c r="B297" t="str">
        <f>"Industriarbetsgivarna (Stål och Metall)"</f>
        <v>Industriarbetsgivarna (Stål och Metall)</v>
      </c>
      <c r="C297" t="str">
        <f>"Seko, Service- och kommunikationsfacket"</f>
        <v>Seko, Service- och kommunikationsfacket</v>
      </c>
      <c r="D297" t="str">
        <f>"2025-05-31"</f>
        <v>2025-05-31</v>
      </c>
    </row>
    <row r="298" spans="1:4" x14ac:dyDescent="0.35">
      <c r="A298" t="str">
        <f>"Stål- och Metallindustri"</f>
        <v>Stål- och Metallindustri</v>
      </c>
      <c r="B298" t="str">
        <f>"Industriarbetsgivarna (Stål och Metall)"</f>
        <v>Industriarbetsgivarna (Stål och Metall)</v>
      </c>
      <c r="C298" t="str">
        <f>"Sveriges Ingenjörer"</f>
        <v>Sveriges Ingenjörer</v>
      </c>
      <c r="D298" t="str">
        <f>"2025-03-31"</f>
        <v>2025-03-31</v>
      </c>
    </row>
    <row r="299" spans="1:4" x14ac:dyDescent="0.35">
      <c r="A299" t="str">
        <f>"Stål- och Metallindustri"</f>
        <v>Stål- och Metallindustri</v>
      </c>
      <c r="B299" t="str">
        <f>"Industriarbetsgivarna (Stål och Metall)"</f>
        <v>Industriarbetsgivarna (Stål och Metall)</v>
      </c>
      <c r="C299" t="str">
        <f>"Unionen"</f>
        <v>Unionen</v>
      </c>
      <c r="D299" t="str">
        <f>"2025-03-31"</f>
        <v>2025-03-31</v>
      </c>
    </row>
    <row r="300" spans="1:4" x14ac:dyDescent="0.35">
      <c r="A300" t="str">
        <f>"SVEMEK-avtalet"</f>
        <v>SVEMEK-avtalet</v>
      </c>
      <c r="B300" t="str">
        <f>"Industriarbetsgivarna (SVEMEK)"</f>
        <v>Industriarbetsgivarna (SVEMEK)</v>
      </c>
      <c r="C300" t="str">
        <f>"IF Metall"</f>
        <v>IF Metall</v>
      </c>
      <c r="D300" t="str">
        <f>"2025-05-31"</f>
        <v>2025-05-31</v>
      </c>
    </row>
    <row r="301" spans="1:4" x14ac:dyDescent="0.35">
      <c r="A301" t="str">
        <f>"Tjänstemannaavtal"</f>
        <v>Tjänstemannaavtal</v>
      </c>
      <c r="B301" t="str">
        <f>"Industriarbetsgivarna (SVEMEK)"</f>
        <v>Industriarbetsgivarna (SVEMEK)</v>
      </c>
      <c r="C301" t="str">
        <f>"Ledarna"</f>
        <v>Ledarna</v>
      </c>
      <c r="D301" t="str">
        <f>""</f>
        <v/>
      </c>
    </row>
    <row r="302" spans="1:4" x14ac:dyDescent="0.35">
      <c r="A302" t="str">
        <f>"Tjänstemannaavtal"</f>
        <v>Tjänstemannaavtal</v>
      </c>
      <c r="B302" t="str">
        <f>"Industriarbetsgivarna (SVEMEK)"</f>
        <v>Industriarbetsgivarna (SVEMEK)</v>
      </c>
      <c r="C302" t="str">
        <f>"Sveriges Ingenjörer"</f>
        <v>Sveriges Ingenjörer</v>
      </c>
      <c r="D302" t="str">
        <f t="shared" ref="D302:D308" si="27">"2025-03-31"</f>
        <v>2025-03-31</v>
      </c>
    </row>
    <row r="303" spans="1:4" x14ac:dyDescent="0.35">
      <c r="A303" t="str">
        <f>"Tjänstemannaavtal"</f>
        <v>Tjänstemannaavtal</v>
      </c>
      <c r="B303" t="str">
        <f>"Industriarbetsgivarna (SVEMEK)"</f>
        <v>Industriarbetsgivarna (SVEMEK)</v>
      </c>
      <c r="C303" t="str">
        <f>"Unionen"</f>
        <v>Unionen</v>
      </c>
      <c r="D303" t="str">
        <f t="shared" si="27"/>
        <v>2025-03-31</v>
      </c>
    </row>
    <row r="304" spans="1:4" x14ac:dyDescent="0.35">
      <c r="A304" t="str">
        <f>"Innovationsavtalet"</f>
        <v>Innovationsavtalet</v>
      </c>
      <c r="B304" t="str">
        <f>"Innovationsföretagen"</f>
        <v>Innovationsföretagen</v>
      </c>
      <c r="C304" t="str">
        <f>"Sveriges Arkitekter"</f>
        <v>Sveriges Arkitekter</v>
      </c>
      <c r="D304" t="str">
        <f t="shared" si="27"/>
        <v>2025-03-31</v>
      </c>
    </row>
    <row r="305" spans="1:4" x14ac:dyDescent="0.35">
      <c r="A305" t="str">
        <f>"Innovationsavtalet"</f>
        <v>Innovationsavtalet</v>
      </c>
      <c r="B305" t="str">
        <f>"Innovationsföretagen"</f>
        <v>Innovationsföretagen</v>
      </c>
      <c r="C305" t="str">
        <f>"Sveriges Ingenjörer"</f>
        <v>Sveriges Ingenjörer</v>
      </c>
      <c r="D305" t="str">
        <f t="shared" si="27"/>
        <v>2025-03-31</v>
      </c>
    </row>
    <row r="306" spans="1:4" x14ac:dyDescent="0.35">
      <c r="A306" t="str">
        <f>"Innovationsavtalet"</f>
        <v>Innovationsavtalet</v>
      </c>
      <c r="B306" t="str">
        <f>"Innovationsföretagen"</f>
        <v>Innovationsföretagen</v>
      </c>
      <c r="C306" t="str">
        <f>"Unionen"</f>
        <v>Unionen</v>
      </c>
      <c r="D306" t="str">
        <f t="shared" si="27"/>
        <v>2025-03-31</v>
      </c>
    </row>
    <row r="307" spans="1:4" x14ac:dyDescent="0.35">
      <c r="A307" t="str">
        <f>"Detaljhandelsavtal"</f>
        <v>Detaljhandelsavtal</v>
      </c>
      <c r="B307" t="str">
        <f t="shared" ref="B307:B317" si="28">"Installatörsföretagen"</f>
        <v>Installatörsföretagen</v>
      </c>
      <c r="C307" t="str">
        <f>"Handelsanställdas förbund"</f>
        <v>Handelsanställdas förbund</v>
      </c>
      <c r="D307" t="str">
        <f t="shared" si="27"/>
        <v>2025-03-31</v>
      </c>
    </row>
    <row r="308" spans="1:4" x14ac:dyDescent="0.35">
      <c r="A308" t="str">
        <f>"Lageravtal"</f>
        <v>Lageravtal</v>
      </c>
      <c r="B308" t="str">
        <f t="shared" si="28"/>
        <v>Installatörsföretagen</v>
      </c>
      <c r="C308" t="str">
        <f>"Handelsanställdas förbund"</f>
        <v>Handelsanställdas förbund</v>
      </c>
      <c r="D308" t="str">
        <f t="shared" si="27"/>
        <v>2025-03-31</v>
      </c>
    </row>
    <row r="309" spans="1:4" x14ac:dyDescent="0.35">
      <c r="A309" t="str">
        <f>"Tjänstemannaavtal"</f>
        <v>Tjänstemannaavtal</v>
      </c>
      <c r="B309" t="str">
        <f t="shared" si="28"/>
        <v>Installatörsföretagen</v>
      </c>
      <c r="C309" t="str">
        <f>"Ledarna"</f>
        <v>Ledarna</v>
      </c>
      <c r="D309" t="str">
        <f>""</f>
        <v/>
      </c>
    </row>
    <row r="310" spans="1:4" x14ac:dyDescent="0.35">
      <c r="A310" t="str">
        <f>"Telekom"</f>
        <v>Telekom</v>
      </c>
      <c r="B310" t="str">
        <f t="shared" si="28"/>
        <v>Installatörsföretagen</v>
      </c>
      <c r="C310" t="str">
        <f>"Seko, Service- och kommunikationsfacket"</f>
        <v>Seko, Service- och kommunikationsfacket</v>
      </c>
      <c r="D310" t="str">
        <f>"2025-03-31"</f>
        <v>2025-03-31</v>
      </c>
    </row>
    <row r="311" spans="1:4" x14ac:dyDescent="0.35">
      <c r="A311" t="str">
        <f>"Larm- och Säkerhetsavtalet"</f>
        <v>Larm- och Säkerhetsavtalet</v>
      </c>
      <c r="B311" t="str">
        <f t="shared" si="28"/>
        <v>Installatörsföretagen</v>
      </c>
      <c r="C311" t="str">
        <f>"Seko, Service- och kommunikationsfacket"</f>
        <v>Seko, Service- och kommunikationsfacket</v>
      </c>
      <c r="D311" t="str">
        <f>"2025-05-31"</f>
        <v>2025-05-31</v>
      </c>
    </row>
    <row r="312" spans="1:4" x14ac:dyDescent="0.35">
      <c r="A312" t="str">
        <f>"Teknikinstallationsavtal"</f>
        <v>Teknikinstallationsavtal</v>
      </c>
      <c r="B312" t="str">
        <f t="shared" si="28"/>
        <v>Installatörsföretagen</v>
      </c>
      <c r="C312" t="str">
        <f>"Svenska Byggnadsarbetareförbundet"</f>
        <v>Svenska Byggnadsarbetareförbundet</v>
      </c>
      <c r="D312" t="str">
        <f>"2025-04-30"</f>
        <v>2025-04-30</v>
      </c>
    </row>
    <row r="313" spans="1:4" x14ac:dyDescent="0.35">
      <c r="A313" t="str">
        <f>"Plåt- och Ventilationsavtalet"</f>
        <v>Plåt- och Ventilationsavtalet</v>
      </c>
      <c r="B313" t="str">
        <f t="shared" si="28"/>
        <v>Installatörsföretagen</v>
      </c>
      <c r="C313" t="str">
        <f>"Svenska Byggnadsarbetareförbundet"</f>
        <v>Svenska Byggnadsarbetareförbundet</v>
      </c>
      <c r="D313" t="str">
        <f>"2025-04-30"</f>
        <v>2025-04-30</v>
      </c>
    </row>
    <row r="314" spans="1:4" x14ac:dyDescent="0.35">
      <c r="A314" t="str">
        <f>"Installationsavtal"</f>
        <v>Installationsavtal</v>
      </c>
      <c r="B314" t="str">
        <f t="shared" si="28"/>
        <v>Installatörsföretagen</v>
      </c>
      <c r="C314" t="str">
        <f>"Svenska Elektrikerförbundet"</f>
        <v>Svenska Elektrikerförbundet</v>
      </c>
      <c r="D314" t="str">
        <f>"2025-04-30"</f>
        <v>2025-04-30</v>
      </c>
    </row>
    <row r="315" spans="1:4" x14ac:dyDescent="0.35">
      <c r="A315" t="str">
        <f>"Larm- och Säkerhetsavtalet"</f>
        <v>Larm- och Säkerhetsavtalet</v>
      </c>
      <c r="B315" t="str">
        <f t="shared" si="28"/>
        <v>Installatörsföretagen</v>
      </c>
      <c r="C315" t="str">
        <f>"Svenska Elektrikerförbundet"</f>
        <v>Svenska Elektrikerförbundet</v>
      </c>
      <c r="D315" t="str">
        <f>"2025-05-31"</f>
        <v>2025-05-31</v>
      </c>
    </row>
    <row r="316" spans="1:4" x14ac:dyDescent="0.35">
      <c r="A316" t="str">
        <f>"Tjänstemannaavtal"</f>
        <v>Tjänstemannaavtal</v>
      </c>
      <c r="B316" t="str">
        <f t="shared" si="28"/>
        <v>Installatörsföretagen</v>
      </c>
      <c r="C316" t="str">
        <f>"Sveriges Ingenjörer"</f>
        <v>Sveriges Ingenjörer</v>
      </c>
      <c r="D316" t="str">
        <f t="shared" ref="D316:D332" si="29">"2025-04-30"</f>
        <v>2025-04-30</v>
      </c>
    </row>
    <row r="317" spans="1:4" x14ac:dyDescent="0.35">
      <c r="A317" t="str">
        <f>"Tjänstemannaavtal"</f>
        <v>Tjänstemannaavtal</v>
      </c>
      <c r="B317" t="str">
        <f t="shared" si="28"/>
        <v>Installatörsföretagen</v>
      </c>
      <c r="C317" t="str">
        <f>"Unionen"</f>
        <v>Unionen</v>
      </c>
      <c r="D317" t="str">
        <f t="shared" si="29"/>
        <v>2025-04-30</v>
      </c>
    </row>
    <row r="318" spans="1:4" x14ac:dyDescent="0.35">
      <c r="A318" t="str">
        <f>"Kompetensföretagens tjänstemannaavtal"</f>
        <v>Kompetensföretagens tjänstemannaavtal</v>
      </c>
      <c r="B318" t="str">
        <f t="shared" ref="B318:B336" si="30">"Kompetensföretagen"</f>
        <v>Kompetensföretagen</v>
      </c>
      <c r="C318" t="str">
        <f>"Akademikerförbunden"</f>
        <v>Akademikerförbunden</v>
      </c>
      <c r="D318" t="str">
        <f t="shared" si="29"/>
        <v>2025-04-30</v>
      </c>
    </row>
    <row r="319" spans="1:4" x14ac:dyDescent="0.35">
      <c r="A319" t="str">
        <f t="shared" ref="A319:A332" si="31">"Bemanningsavtalet"</f>
        <v>Bemanningsavtalet</v>
      </c>
      <c r="B319" t="str">
        <f t="shared" si="30"/>
        <v>Kompetensföretagen</v>
      </c>
      <c r="C319" t="str">
        <f>"Fastighetsanställdas Förbund"</f>
        <v>Fastighetsanställdas Förbund</v>
      </c>
      <c r="D319" t="str">
        <f t="shared" si="29"/>
        <v>2025-04-30</v>
      </c>
    </row>
    <row r="320" spans="1:4" x14ac:dyDescent="0.35">
      <c r="A320" t="str">
        <f t="shared" si="31"/>
        <v>Bemanningsavtalet</v>
      </c>
      <c r="B320" t="str">
        <f t="shared" si="30"/>
        <v>Kompetensföretagen</v>
      </c>
      <c r="C320" t="str">
        <f>"GS Facket för skogs-, trä- och grafisk bransch"</f>
        <v>GS Facket för skogs-, trä- och grafisk bransch</v>
      </c>
      <c r="D320" t="str">
        <f t="shared" si="29"/>
        <v>2025-04-30</v>
      </c>
    </row>
    <row r="321" spans="1:4" x14ac:dyDescent="0.35">
      <c r="A321" t="str">
        <f t="shared" si="31"/>
        <v>Bemanningsavtalet</v>
      </c>
      <c r="B321" t="str">
        <f t="shared" si="30"/>
        <v>Kompetensföretagen</v>
      </c>
      <c r="C321" t="str">
        <f>"Handelsanställdas förbund"</f>
        <v>Handelsanställdas förbund</v>
      </c>
      <c r="D321" t="str">
        <f t="shared" si="29"/>
        <v>2025-04-30</v>
      </c>
    </row>
    <row r="322" spans="1:4" x14ac:dyDescent="0.35">
      <c r="A322" t="str">
        <f t="shared" si="31"/>
        <v>Bemanningsavtalet</v>
      </c>
      <c r="B322" t="str">
        <f t="shared" si="30"/>
        <v>Kompetensföretagen</v>
      </c>
      <c r="C322" t="str">
        <f>"Hotell- och Restaurangfacket"</f>
        <v>Hotell- och Restaurangfacket</v>
      </c>
      <c r="D322" t="str">
        <f t="shared" si="29"/>
        <v>2025-04-30</v>
      </c>
    </row>
    <row r="323" spans="1:4" x14ac:dyDescent="0.35">
      <c r="A323" t="str">
        <f t="shared" si="31"/>
        <v>Bemanningsavtalet</v>
      </c>
      <c r="B323" t="str">
        <f t="shared" si="30"/>
        <v>Kompetensföretagen</v>
      </c>
      <c r="C323" t="str">
        <f>"IF Metall"</f>
        <v>IF Metall</v>
      </c>
      <c r="D323" t="str">
        <f t="shared" si="29"/>
        <v>2025-04-30</v>
      </c>
    </row>
    <row r="324" spans="1:4" x14ac:dyDescent="0.35">
      <c r="A324" t="str">
        <f t="shared" si="31"/>
        <v>Bemanningsavtalet</v>
      </c>
      <c r="B324" t="str">
        <f t="shared" si="30"/>
        <v>Kompetensföretagen</v>
      </c>
      <c r="C324" t="str">
        <f>"Livsmedelsarbetareförbundet"</f>
        <v>Livsmedelsarbetareförbundet</v>
      </c>
      <c r="D324" t="str">
        <f t="shared" si="29"/>
        <v>2025-04-30</v>
      </c>
    </row>
    <row r="325" spans="1:4" x14ac:dyDescent="0.35">
      <c r="A325" t="str">
        <f t="shared" si="31"/>
        <v>Bemanningsavtalet</v>
      </c>
      <c r="B325" t="str">
        <f t="shared" si="30"/>
        <v>Kompetensföretagen</v>
      </c>
      <c r="C325" t="str">
        <f>"Musikerförbundet"</f>
        <v>Musikerförbundet</v>
      </c>
      <c r="D325" t="str">
        <f t="shared" si="29"/>
        <v>2025-04-30</v>
      </c>
    </row>
    <row r="326" spans="1:4" x14ac:dyDescent="0.35">
      <c r="A326" t="str">
        <f t="shared" si="31"/>
        <v>Bemanningsavtalet</v>
      </c>
      <c r="B326" t="str">
        <f t="shared" si="30"/>
        <v>Kompetensföretagen</v>
      </c>
      <c r="C326" t="str">
        <f>"Seko, Service- och kommunikationsfacket"</f>
        <v>Seko, Service- och kommunikationsfacket</v>
      </c>
      <c r="D326" t="str">
        <f t="shared" si="29"/>
        <v>2025-04-30</v>
      </c>
    </row>
    <row r="327" spans="1:4" x14ac:dyDescent="0.35">
      <c r="A327" t="str">
        <f t="shared" si="31"/>
        <v>Bemanningsavtalet</v>
      </c>
      <c r="B327" t="str">
        <f t="shared" si="30"/>
        <v>Kompetensföretagen</v>
      </c>
      <c r="C327" t="str">
        <f>"Svenska Byggnadsarbetareförbundet"</f>
        <v>Svenska Byggnadsarbetareförbundet</v>
      </c>
      <c r="D327" t="str">
        <f t="shared" si="29"/>
        <v>2025-04-30</v>
      </c>
    </row>
    <row r="328" spans="1:4" x14ac:dyDescent="0.35">
      <c r="A328" t="str">
        <f t="shared" si="31"/>
        <v>Bemanningsavtalet</v>
      </c>
      <c r="B328" t="str">
        <f t="shared" si="30"/>
        <v>Kompetensföretagen</v>
      </c>
      <c r="C328" t="str">
        <f>"Svenska Elektrikerförbundet"</f>
        <v>Svenska Elektrikerförbundet</v>
      </c>
      <c r="D328" t="str">
        <f t="shared" si="29"/>
        <v>2025-04-30</v>
      </c>
    </row>
    <row r="329" spans="1:4" x14ac:dyDescent="0.35">
      <c r="A329" t="str">
        <f t="shared" si="31"/>
        <v>Bemanningsavtalet</v>
      </c>
      <c r="B329" t="str">
        <f t="shared" si="30"/>
        <v>Kompetensföretagen</v>
      </c>
      <c r="C329" t="str">
        <f>"Svenska Kommunalarbetareförbundet"</f>
        <v>Svenska Kommunalarbetareförbundet</v>
      </c>
      <c r="D329" t="str">
        <f t="shared" si="29"/>
        <v>2025-04-30</v>
      </c>
    </row>
    <row r="330" spans="1:4" x14ac:dyDescent="0.35">
      <c r="A330" t="str">
        <f t="shared" si="31"/>
        <v>Bemanningsavtalet</v>
      </c>
      <c r="B330" t="str">
        <f t="shared" si="30"/>
        <v>Kompetensföretagen</v>
      </c>
      <c r="C330" t="str">
        <f>"Svenska Målareförbundet"</f>
        <v>Svenska Målareförbundet</v>
      </c>
      <c r="D330" t="str">
        <f t="shared" si="29"/>
        <v>2025-04-30</v>
      </c>
    </row>
    <row r="331" spans="1:4" x14ac:dyDescent="0.35">
      <c r="A331" t="str">
        <f t="shared" si="31"/>
        <v>Bemanningsavtalet</v>
      </c>
      <c r="B331" t="str">
        <f t="shared" si="30"/>
        <v>Kompetensföretagen</v>
      </c>
      <c r="C331" t="str">
        <f>"Svenska Pappersindustriarbetareförbundet"</f>
        <v>Svenska Pappersindustriarbetareförbundet</v>
      </c>
      <c r="D331" t="str">
        <f t="shared" si="29"/>
        <v>2025-04-30</v>
      </c>
    </row>
    <row r="332" spans="1:4" x14ac:dyDescent="0.35">
      <c r="A332" t="str">
        <f t="shared" si="31"/>
        <v>Bemanningsavtalet</v>
      </c>
      <c r="B332" t="str">
        <f t="shared" si="30"/>
        <v>Kompetensföretagen</v>
      </c>
      <c r="C332" t="str">
        <f>"Svenska Transportarbetareförbundet"</f>
        <v>Svenska Transportarbetareförbundet</v>
      </c>
      <c r="D332" t="str">
        <f t="shared" si="29"/>
        <v>2025-04-30</v>
      </c>
    </row>
    <row r="333" spans="1:4" x14ac:dyDescent="0.35">
      <c r="A333" t="str">
        <f>"Bemanningsavtal Läkare"</f>
        <v>Bemanningsavtal Läkare</v>
      </c>
      <c r="B333" t="str">
        <f t="shared" si="30"/>
        <v>Kompetensföretagen</v>
      </c>
      <c r="C333" t="str">
        <f>"Sveriges Läkarförbund"</f>
        <v>Sveriges Läkarförbund</v>
      </c>
      <c r="D333" t="str">
        <f>""</f>
        <v/>
      </c>
    </row>
    <row r="334" spans="1:4" x14ac:dyDescent="0.35">
      <c r="A334" t="str">
        <f>"Bemanningsavtal -Lärare"</f>
        <v>Bemanningsavtal -Lärare</v>
      </c>
      <c r="B334" t="str">
        <f t="shared" si="30"/>
        <v>Kompetensföretagen</v>
      </c>
      <c r="C334" t="str">
        <f>"Sveriges Lärare"</f>
        <v>Sveriges Lärare</v>
      </c>
      <c r="D334" t="str">
        <f>"2025-08-31"</f>
        <v>2025-08-31</v>
      </c>
    </row>
    <row r="335" spans="1:4" x14ac:dyDescent="0.35">
      <c r="A335" t="str">
        <f>"Kompetensföretagens tjänstemannaavtal"</f>
        <v>Kompetensföretagens tjänstemannaavtal</v>
      </c>
      <c r="B335" t="str">
        <f t="shared" si="30"/>
        <v>Kompetensföretagen</v>
      </c>
      <c r="C335" t="str">
        <f>"Unionen"</f>
        <v>Unionen</v>
      </c>
      <c r="D335" t="str">
        <f>"2025-04-30"</f>
        <v>2025-04-30</v>
      </c>
    </row>
    <row r="336" spans="1:4" x14ac:dyDescent="0.35">
      <c r="A336" t="str">
        <f>"Bemanningsavtal Vård och omsorg"</f>
        <v>Bemanningsavtal Vård och omsorg</v>
      </c>
      <c r="B336" t="str">
        <f t="shared" si="30"/>
        <v>Kompetensföretagen</v>
      </c>
      <c r="C336" t="str">
        <f>"Vårdförbundet"</f>
        <v>Vårdförbundet</v>
      </c>
      <c r="D336" t="str">
        <f>""</f>
        <v/>
      </c>
    </row>
    <row r="337" spans="1:4" x14ac:dyDescent="0.35">
      <c r="A337" t="str">
        <f>"Butiksavtal"</f>
        <v>Butiksavtal</v>
      </c>
      <c r="B337" t="str">
        <f t="shared" ref="B337:B347" si="32">"Livsmedelsföretagen"</f>
        <v>Livsmedelsföretagen</v>
      </c>
      <c r="C337" t="str">
        <f>"Handelsanställdas förbund"</f>
        <v>Handelsanställdas förbund</v>
      </c>
      <c r="D337" t="str">
        <f>"2025-03-31"</f>
        <v>2025-03-31</v>
      </c>
    </row>
    <row r="338" spans="1:4" x14ac:dyDescent="0.35">
      <c r="A338" t="str">
        <f>"Äggförsäljning"</f>
        <v>Äggförsäljning</v>
      </c>
      <c r="B338" t="str">
        <f t="shared" si="32"/>
        <v>Livsmedelsföretagen</v>
      </c>
      <c r="C338" t="str">
        <f>"Handelsanställdas förbund"</f>
        <v>Handelsanställdas förbund</v>
      </c>
      <c r="D338" t="str">
        <f>"2025-03-31"</f>
        <v>2025-03-31</v>
      </c>
    </row>
    <row r="339" spans="1:4" x14ac:dyDescent="0.35">
      <c r="A339" t="str">
        <f>"Ostföretag"</f>
        <v>Ostföretag</v>
      </c>
      <c r="B339" t="str">
        <f t="shared" si="32"/>
        <v>Livsmedelsföretagen</v>
      </c>
      <c r="C339" t="str">
        <f>"Handelsanställdas förbund"</f>
        <v>Handelsanställdas förbund</v>
      </c>
      <c r="D339" t="str">
        <f>"2025-03-31"</f>
        <v>2025-03-31</v>
      </c>
    </row>
    <row r="340" spans="1:4" x14ac:dyDescent="0.35">
      <c r="A340" t="str">
        <f>"Serveringsavtalet"</f>
        <v>Serveringsavtalet</v>
      </c>
      <c r="B340" t="str">
        <f t="shared" si="32"/>
        <v>Livsmedelsföretagen</v>
      </c>
      <c r="C340" t="str">
        <f>"Hotell- och Restaurangfacket"</f>
        <v>Hotell- och Restaurangfacket</v>
      </c>
      <c r="D340" t="str">
        <f>"2025-03-31"</f>
        <v>2025-03-31</v>
      </c>
    </row>
    <row r="341" spans="1:4" x14ac:dyDescent="0.35">
      <c r="A341" t="str">
        <f>"Tjänstemannaavtal"</f>
        <v>Tjänstemannaavtal</v>
      </c>
      <c r="B341" t="str">
        <f t="shared" si="32"/>
        <v>Livsmedelsföretagen</v>
      </c>
      <c r="C341" t="str">
        <f>"Ledarna"</f>
        <v>Ledarna</v>
      </c>
      <c r="D341" t="str">
        <f>""</f>
        <v/>
      </c>
    </row>
    <row r="342" spans="1:4" x14ac:dyDescent="0.35">
      <c r="A342" t="str">
        <f>"Livsmedelsavtal"</f>
        <v>Livsmedelsavtal</v>
      </c>
      <c r="B342" t="str">
        <f t="shared" si="32"/>
        <v>Livsmedelsföretagen</v>
      </c>
      <c r="C342" t="str">
        <f>"Livsmedelsarbetareförbundet"</f>
        <v>Livsmedelsarbetareförbundet</v>
      </c>
      <c r="D342" t="str">
        <f t="shared" ref="D342:D347" si="33">"2025-03-31"</f>
        <v>2025-03-31</v>
      </c>
    </row>
    <row r="343" spans="1:4" x14ac:dyDescent="0.35">
      <c r="A343" t="str">
        <f>"Vin- och spritindustri"</f>
        <v>Vin- och spritindustri</v>
      </c>
      <c r="B343" t="str">
        <f t="shared" si="32"/>
        <v>Livsmedelsföretagen</v>
      </c>
      <c r="C343" t="str">
        <f>"Livsmedelsarbetareförbundet"</f>
        <v>Livsmedelsarbetareförbundet</v>
      </c>
      <c r="D343" t="str">
        <f t="shared" si="33"/>
        <v>2025-03-31</v>
      </c>
    </row>
    <row r="344" spans="1:4" x14ac:dyDescent="0.35">
      <c r="A344" t="str">
        <f>"Tobaksindustri"</f>
        <v>Tobaksindustri</v>
      </c>
      <c r="B344" t="str">
        <f t="shared" si="32"/>
        <v>Livsmedelsföretagen</v>
      </c>
      <c r="C344" t="str">
        <f>"Livsmedelsarbetareförbundet"</f>
        <v>Livsmedelsarbetareförbundet</v>
      </c>
      <c r="D344" t="str">
        <f t="shared" si="33"/>
        <v>2025-03-31</v>
      </c>
    </row>
    <row r="345" spans="1:4" x14ac:dyDescent="0.35">
      <c r="A345" t="str">
        <f>"Kafferosterier och kryddfabriker"</f>
        <v>Kafferosterier och kryddfabriker</v>
      </c>
      <c r="B345" t="str">
        <f t="shared" si="32"/>
        <v>Livsmedelsföretagen</v>
      </c>
      <c r="C345" t="str">
        <f>"Livsmedelsarbetareförbundet"</f>
        <v>Livsmedelsarbetareförbundet</v>
      </c>
      <c r="D345" t="str">
        <f t="shared" si="33"/>
        <v>2025-03-31</v>
      </c>
    </row>
    <row r="346" spans="1:4" x14ac:dyDescent="0.35">
      <c r="A346" t="str">
        <f>"Tjänstemannaavtal"</f>
        <v>Tjänstemannaavtal</v>
      </c>
      <c r="B346" t="str">
        <f t="shared" si="32"/>
        <v>Livsmedelsföretagen</v>
      </c>
      <c r="C346" t="str">
        <f>"Sveriges Ingenjörer"</f>
        <v>Sveriges Ingenjörer</v>
      </c>
      <c r="D346" t="str">
        <f t="shared" si="33"/>
        <v>2025-03-31</v>
      </c>
    </row>
    <row r="347" spans="1:4" x14ac:dyDescent="0.35">
      <c r="A347" t="str">
        <f>"Tjänstemannaavtal"</f>
        <v>Tjänstemannaavtal</v>
      </c>
      <c r="B347" t="str">
        <f t="shared" si="32"/>
        <v>Livsmedelsföretagen</v>
      </c>
      <c r="C347" t="str">
        <f>"Unionen"</f>
        <v>Unionen</v>
      </c>
      <c r="D347" t="str">
        <f t="shared" si="33"/>
        <v>2025-03-31</v>
      </c>
    </row>
    <row r="348" spans="1:4" x14ac:dyDescent="0.35">
      <c r="A348" t="str">
        <f>"Gruventreprenadavtal"</f>
        <v>Gruventreprenadavtal</v>
      </c>
      <c r="B348" t="str">
        <f t="shared" ref="B348:B354" si="34">"Maskinentreprenörerna"</f>
        <v>Maskinentreprenörerna</v>
      </c>
      <c r="C348" t="str">
        <f>"IF Metall"</f>
        <v>IF Metall</v>
      </c>
      <c r="D348" t="str">
        <f>"2025-04-30"</f>
        <v>2025-04-30</v>
      </c>
    </row>
    <row r="349" spans="1:4" x14ac:dyDescent="0.35">
      <c r="A349" t="str">
        <f>"Torvavtalet"</f>
        <v>Torvavtalet</v>
      </c>
      <c r="B349" t="str">
        <f t="shared" si="34"/>
        <v>Maskinentreprenörerna</v>
      </c>
      <c r="C349" t="str">
        <f>"IF Metall"</f>
        <v>IF Metall</v>
      </c>
      <c r="D349" t="str">
        <f>"2025-05-31"</f>
        <v>2025-05-31</v>
      </c>
    </row>
    <row r="350" spans="1:4" x14ac:dyDescent="0.35">
      <c r="A350" t="str">
        <f>"Tjänstemannaavtal"</f>
        <v>Tjänstemannaavtal</v>
      </c>
      <c r="B350" t="str">
        <f t="shared" si="34"/>
        <v>Maskinentreprenörerna</v>
      </c>
      <c r="C350" t="str">
        <f>"Ledarna"</f>
        <v>Ledarna</v>
      </c>
      <c r="D350" t="str">
        <f>""</f>
        <v/>
      </c>
    </row>
    <row r="351" spans="1:4" x14ac:dyDescent="0.35">
      <c r="A351" t="str">
        <f>"Maskinföraravtalet"</f>
        <v>Maskinföraravtalet</v>
      </c>
      <c r="B351" t="str">
        <f t="shared" si="34"/>
        <v>Maskinentreprenörerna</v>
      </c>
      <c r="C351" t="str">
        <f>"Seko, Service- och kommunikationsfacket"</f>
        <v>Seko, Service- och kommunikationsfacket</v>
      </c>
      <c r="D351" t="str">
        <f>"2025-05-31"</f>
        <v>2025-05-31</v>
      </c>
    </row>
    <row r="352" spans="1:4" x14ac:dyDescent="0.35">
      <c r="A352" t="str">
        <f>"Entreprenadmaskinföretag"</f>
        <v>Entreprenadmaskinföretag</v>
      </c>
      <c r="B352" t="str">
        <f t="shared" si="34"/>
        <v>Maskinentreprenörerna</v>
      </c>
      <c r="C352" t="str">
        <f>"Svenska Byggnadsarbetareförbundet"</f>
        <v>Svenska Byggnadsarbetareförbundet</v>
      </c>
      <c r="D352" t="str">
        <f>"2025-05-31"</f>
        <v>2025-05-31</v>
      </c>
    </row>
    <row r="353" spans="1:4" x14ac:dyDescent="0.35">
      <c r="A353" t="str">
        <f>"Tjänstemannaavtal"</f>
        <v>Tjänstemannaavtal</v>
      </c>
      <c r="B353" t="str">
        <f t="shared" si="34"/>
        <v>Maskinentreprenörerna</v>
      </c>
      <c r="C353" t="str">
        <f>"Sveriges Ingenjörer"</f>
        <v>Sveriges Ingenjörer</v>
      </c>
      <c r="D353" t="str">
        <f>"2025-04-30"</f>
        <v>2025-04-30</v>
      </c>
    </row>
    <row r="354" spans="1:4" x14ac:dyDescent="0.35">
      <c r="A354" t="str">
        <f>"Tjänstemannaavtal"</f>
        <v>Tjänstemannaavtal</v>
      </c>
      <c r="B354" t="str">
        <f t="shared" si="34"/>
        <v>Maskinentreprenörerna</v>
      </c>
      <c r="C354" t="str">
        <f>"Unionen"</f>
        <v>Unionen</v>
      </c>
      <c r="D354" t="str">
        <f>"2025-04-30"</f>
        <v>2025-04-30</v>
      </c>
    </row>
    <row r="355" spans="1:4" x14ac:dyDescent="0.35">
      <c r="A355" t="str">
        <f>"Public Service med dotterbolag"</f>
        <v>Public Service med dotterbolag</v>
      </c>
      <c r="B355" t="str">
        <f t="shared" ref="B355:B375" si="35">"Medieföretagen"</f>
        <v>Medieföretagen</v>
      </c>
      <c r="C355" t="str">
        <f>"Akademikerförbunden"</f>
        <v>Akademikerförbunden</v>
      </c>
      <c r="D355" t="str">
        <f>""</f>
        <v/>
      </c>
    </row>
    <row r="356" spans="1:4" x14ac:dyDescent="0.35">
      <c r="A356" t="str">
        <f>"Tjänstemän i tjänste- och Medieföretag"</f>
        <v>Tjänstemän i tjänste- och Medieföretag</v>
      </c>
      <c r="B356" t="str">
        <f t="shared" si="35"/>
        <v>Medieföretagen</v>
      </c>
      <c r="C356" t="str">
        <f>"Akademikerförbunden"</f>
        <v>Akademikerförbunden</v>
      </c>
      <c r="D356" t="str">
        <f>"2025-04-30"</f>
        <v>2025-04-30</v>
      </c>
    </row>
    <row r="357" spans="1:4" x14ac:dyDescent="0.35">
      <c r="A357" t="str">
        <f>"Grafikeravtal"</f>
        <v>Grafikeravtal</v>
      </c>
      <c r="B357" t="str">
        <f t="shared" si="35"/>
        <v>Medieföretagen</v>
      </c>
      <c r="C357" t="str">
        <f>"GS Facket för skogs-, trä- och grafisk bransch"</f>
        <v>GS Facket för skogs-, trä- och grafisk bransch</v>
      </c>
      <c r="D357" t="str">
        <f>"2023-04-30"</f>
        <v>2023-04-30</v>
      </c>
    </row>
    <row r="358" spans="1:4" x14ac:dyDescent="0.35">
      <c r="A358" t="str">
        <f>"Tidningsavtalet"</f>
        <v>Tidningsavtalet</v>
      </c>
      <c r="B358" t="str">
        <f t="shared" si="35"/>
        <v>Medieföretagen</v>
      </c>
      <c r="C358" t="str">
        <f>"GS Facket för skogs-, trä- och grafisk bransch"</f>
        <v>GS Facket för skogs-, trä- och grafisk bransch</v>
      </c>
      <c r="D358" t="str">
        <f>"2025-04-30"</f>
        <v>2025-04-30</v>
      </c>
    </row>
    <row r="359" spans="1:4" x14ac:dyDescent="0.35">
      <c r="A359" t="str">
        <f>"Lagerpersonal och chaufförer"</f>
        <v>Lagerpersonal och chaufförer</v>
      </c>
      <c r="B359" t="str">
        <f t="shared" si="35"/>
        <v>Medieföretagen</v>
      </c>
      <c r="C359" t="str">
        <f>"Handelsanställdas förbund"</f>
        <v>Handelsanställdas förbund</v>
      </c>
      <c r="D359" t="str">
        <f>"2025-03-31"</f>
        <v>2025-03-31</v>
      </c>
    </row>
    <row r="360" spans="1:4" x14ac:dyDescent="0.35">
      <c r="A360" t="str">
        <f>"Uppdragstagaravtal (fd Frilansavtal)"</f>
        <v>Uppdragstagaravtal (fd Frilansavtal)</v>
      </c>
      <c r="B360" t="str">
        <f t="shared" si="35"/>
        <v>Medieföretagen</v>
      </c>
      <c r="C360" t="str">
        <f t="shared" ref="C360:C365" si="36">"Journalistförbundet"</f>
        <v>Journalistförbundet</v>
      </c>
      <c r="D360" t="str">
        <f>""</f>
        <v/>
      </c>
    </row>
    <row r="361" spans="1:4" x14ac:dyDescent="0.35">
      <c r="A361" t="str">
        <f>"Dagspress"</f>
        <v>Dagspress</v>
      </c>
      <c r="B361" t="str">
        <f t="shared" si="35"/>
        <v>Medieföretagen</v>
      </c>
      <c r="C361" t="str">
        <f t="shared" si="36"/>
        <v>Journalistförbundet</v>
      </c>
      <c r="D361" t="str">
        <f>"2025-03-31"</f>
        <v>2025-03-31</v>
      </c>
    </row>
    <row r="362" spans="1:4" x14ac:dyDescent="0.35">
      <c r="A362" t="str">
        <f>"Public Service med dotterföretag"</f>
        <v>Public Service med dotterföretag</v>
      </c>
      <c r="B362" t="str">
        <f t="shared" si="35"/>
        <v>Medieföretagen</v>
      </c>
      <c r="C362" t="str">
        <f t="shared" si="36"/>
        <v>Journalistförbundet</v>
      </c>
      <c r="D362" t="str">
        <f>"2025-03-31"</f>
        <v>2025-03-31</v>
      </c>
    </row>
    <row r="363" spans="1:4" x14ac:dyDescent="0.35">
      <c r="A363" t="str">
        <f>"Tidsskriftsföretag"</f>
        <v>Tidsskriftsföretag</v>
      </c>
      <c r="B363" t="str">
        <f t="shared" si="35"/>
        <v>Medieföretagen</v>
      </c>
      <c r="C363" t="str">
        <f t="shared" si="36"/>
        <v>Journalistförbundet</v>
      </c>
      <c r="D363" t="str">
        <f>"2025-03-31"</f>
        <v>2025-03-31</v>
      </c>
    </row>
    <row r="364" spans="1:4" x14ac:dyDescent="0.35">
      <c r="A364" t="str">
        <f>"Etermediaavtal"</f>
        <v>Etermediaavtal</v>
      </c>
      <c r="B364" t="str">
        <f t="shared" si="35"/>
        <v>Medieföretagen</v>
      </c>
      <c r="C364" t="str">
        <f t="shared" si="36"/>
        <v>Journalistförbundet</v>
      </c>
      <c r="D364" t="str">
        <f>"2025-03-31"</f>
        <v>2025-03-31</v>
      </c>
    </row>
    <row r="365" spans="1:4" x14ac:dyDescent="0.35">
      <c r="A365" t="str">
        <f>"Bemanningsavtal"</f>
        <v>Bemanningsavtal</v>
      </c>
      <c r="B365" t="str">
        <f t="shared" si="35"/>
        <v>Medieföretagen</v>
      </c>
      <c r="C365" t="str">
        <f t="shared" si="36"/>
        <v>Journalistförbundet</v>
      </c>
      <c r="D365" t="str">
        <f>"2025-03-31"</f>
        <v>2025-03-31</v>
      </c>
    </row>
    <row r="366" spans="1:4" x14ac:dyDescent="0.35">
      <c r="A366" t="str">
        <f>"Ledaravtal mediechefer"</f>
        <v>Ledaravtal mediechefer</v>
      </c>
      <c r="B366" t="str">
        <f t="shared" si="35"/>
        <v>Medieföretagen</v>
      </c>
      <c r="C366" t="str">
        <f>"Ledarna"</f>
        <v>Ledarna</v>
      </c>
      <c r="D366" t="str">
        <f>""</f>
        <v/>
      </c>
    </row>
    <row r="367" spans="1:4" x14ac:dyDescent="0.35">
      <c r="A367" t="str">
        <f>"Inläsare av talböcker"</f>
        <v>Inläsare av talböcker</v>
      </c>
      <c r="B367" t="str">
        <f t="shared" si="35"/>
        <v>Medieföretagen</v>
      </c>
      <c r="C367" t="str">
        <f>"Scen&amp;Film"</f>
        <v>Scen&amp;Film</v>
      </c>
      <c r="D367" t="str">
        <f>"2025-04-30"</f>
        <v>2025-04-30</v>
      </c>
    </row>
    <row r="368" spans="1:4" x14ac:dyDescent="0.35">
      <c r="A368" t="str">
        <f>"Biografavtalet"</f>
        <v>Biografavtalet</v>
      </c>
      <c r="B368" t="str">
        <f t="shared" si="35"/>
        <v>Medieföretagen</v>
      </c>
      <c r="C368" t="str">
        <f>"Scen&amp;Film"</f>
        <v>Scen&amp;Film</v>
      </c>
      <c r="D368" t="str">
        <f>"2025-05-31"</f>
        <v>2025-05-31</v>
      </c>
    </row>
    <row r="369" spans="1:4" x14ac:dyDescent="0.35">
      <c r="A369" t="str">
        <f>"Film, TV och Videoavtal"</f>
        <v>Film, TV och Videoavtal</v>
      </c>
      <c r="B369" t="str">
        <f t="shared" si="35"/>
        <v>Medieföretagen</v>
      </c>
      <c r="C369" t="str">
        <f>"Scen&amp;Film"</f>
        <v>Scen&amp;Film</v>
      </c>
      <c r="D369" t="str">
        <f>"2025-05-31"</f>
        <v>2025-05-31</v>
      </c>
    </row>
    <row r="370" spans="1:4" x14ac:dyDescent="0.35">
      <c r="A370" t="str">
        <f>"Tidningsdistributörer"</f>
        <v>Tidningsdistributörer</v>
      </c>
      <c r="B370" t="str">
        <f t="shared" si="35"/>
        <v>Medieföretagen</v>
      </c>
      <c r="C370" t="str">
        <f>"Svenska Transportarbetareförbundet"</f>
        <v>Svenska Transportarbetareförbundet</v>
      </c>
      <c r="D370" t="str">
        <f>"2025-04-30"</f>
        <v>2025-04-30</v>
      </c>
    </row>
    <row r="371" spans="1:4" x14ac:dyDescent="0.35">
      <c r="A371" t="str">
        <f>"Grå avtalet, Tjänstemannaavtal (fd Mia/SIF)"</f>
        <v>Grå avtalet, Tjänstemannaavtal (fd Mia/SIF)</v>
      </c>
      <c r="B371" t="str">
        <f t="shared" si="35"/>
        <v>Medieföretagen</v>
      </c>
      <c r="C371" t="str">
        <f>"Sveriges Ingenjörer"</f>
        <v>Sveriges Ingenjörer</v>
      </c>
      <c r="D371" t="str">
        <f>"2025-04-30"</f>
        <v>2025-04-30</v>
      </c>
    </row>
    <row r="372" spans="1:4" x14ac:dyDescent="0.35">
      <c r="A372" t="str">
        <f>"Public Service med dotterbolag"</f>
        <v>Public Service med dotterbolag</v>
      </c>
      <c r="B372" t="str">
        <f t="shared" si="35"/>
        <v>Medieföretagen</v>
      </c>
      <c r="C372" t="str">
        <f>"Unionen"</f>
        <v>Unionen</v>
      </c>
      <c r="D372" t="str">
        <f>"2025-03-31"</f>
        <v>2025-03-31</v>
      </c>
    </row>
    <row r="373" spans="1:4" x14ac:dyDescent="0.35">
      <c r="A373" t="str">
        <f>"Tjänstemän i tjänste- och Medieföretag"</f>
        <v>Tjänstemän i tjänste- och Medieföretag</v>
      </c>
      <c r="B373" t="str">
        <f t="shared" si="35"/>
        <v>Medieföretagen</v>
      </c>
      <c r="C373" t="str">
        <f>"Unionen"</f>
        <v>Unionen</v>
      </c>
      <c r="D373" t="str">
        <f>"2025-04-30"</f>
        <v>2025-04-30</v>
      </c>
    </row>
    <row r="374" spans="1:4" x14ac:dyDescent="0.35">
      <c r="A374" t="str">
        <f>"Grå avtalet, Tjänstemannaavtal (fd Mia/SIF)"</f>
        <v>Grå avtalet, Tjänstemannaavtal (fd Mia/SIF)</v>
      </c>
      <c r="B374" t="str">
        <f t="shared" si="35"/>
        <v>Medieföretagen</v>
      </c>
      <c r="C374" t="str">
        <f>"Unionen"</f>
        <v>Unionen</v>
      </c>
      <c r="D374" t="str">
        <f>"2025-04-30"</f>
        <v>2025-04-30</v>
      </c>
    </row>
    <row r="375" spans="1:4" x14ac:dyDescent="0.35">
      <c r="A375" t="str">
        <f>"Tjänstemannaavtal Dagstidningar"</f>
        <v>Tjänstemannaavtal Dagstidningar</v>
      </c>
      <c r="B375" t="str">
        <f t="shared" si="35"/>
        <v>Medieföretagen</v>
      </c>
      <c r="C375" t="str">
        <f>"Unionen"</f>
        <v>Unionen</v>
      </c>
      <c r="D375" t="str">
        <f>"2025-05-31"</f>
        <v>2025-05-31</v>
      </c>
    </row>
    <row r="376" spans="1:4" x14ac:dyDescent="0.35">
      <c r="A376" t="str">
        <f>"Motorbranschavtal"</f>
        <v>Motorbranschavtal</v>
      </c>
      <c r="B376" t="str">
        <f t="shared" ref="B376:B384" si="37">"Motorbranschens Arbetsgivareförbund"</f>
        <v>Motorbranschens Arbetsgivareförbund</v>
      </c>
      <c r="C376" t="str">
        <f>"IF Metall"</f>
        <v>IF Metall</v>
      </c>
      <c r="D376" t="str">
        <f>"2025-04-30"</f>
        <v>2025-04-30</v>
      </c>
    </row>
    <row r="377" spans="1:4" x14ac:dyDescent="0.35">
      <c r="A377" t="str">
        <f>"Tjänstemannaavtal"</f>
        <v>Tjänstemannaavtal</v>
      </c>
      <c r="B377" t="str">
        <f t="shared" si="37"/>
        <v>Motorbranschens Arbetsgivareförbund</v>
      </c>
      <c r="C377" t="str">
        <f>"Ledarna"</f>
        <v>Ledarna</v>
      </c>
      <c r="D377" t="str">
        <f>""</f>
        <v/>
      </c>
    </row>
    <row r="378" spans="1:4" x14ac:dyDescent="0.35">
      <c r="A378" t="str">
        <f>"Bil- och industrilackeringsverkstäder"</f>
        <v>Bil- och industrilackeringsverkstäder</v>
      </c>
      <c r="B378" t="str">
        <f t="shared" si="37"/>
        <v>Motorbranschens Arbetsgivareförbund</v>
      </c>
      <c r="C378" t="str">
        <f>"Svenska Målareförbundet"</f>
        <v>Svenska Målareförbundet</v>
      </c>
      <c r="D378" t="str">
        <f>"2025-04-30"</f>
        <v>2025-04-30</v>
      </c>
    </row>
    <row r="379" spans="1:4" x14ac:dyDescent="0.35">
      <c r="A379" t="str">
        <f>"Depåavtalet"</f>
        <v>Depåavtalet</v>
      </c>
      <c r="B379" t="str">
        <f t="shared" si="37"/>
        <v>Motorbranschens Arbetsgivareförbund</v>
      </c>
      <c r="C379" t="str">
        <f>"Svenska Transportarbetareförbundet"</f>
        <v>Svenska Transportarbetareförbundet</v>
      </c>
      <c r="D379" t="str">
        <f>"2025-03-31"</f>
        <v>2025-03-31</v>
      </c>
    </row>
    <row r="380" spans="1:4" x14ac:dyDescent="0.35">
      <c r="A380" t="str">
        <f>"Flygtankningsavtalet"</f>
        <v>Flygtankningsavtalet</v>
      </c>
      <c r="B380" t="str">
        <f t="shared" si="37"/>
        <v>Motorbranschens Arbetsgivareförbund</v>
      </c>
      <c r="C380" t="str">
        <f>"Svenska Transportarbetareförbundet"</f>
        <v>Svenska Transportarbetareförbundet</v>
      </c>
      <c r="D380" t="str">
        <f>"2025-03-31"</f>
        <v>2025-03-31</v>
      </c>
    </row>
    <row r="381" spans="1:4" x14ac:dyDescent="0.35">
      <c r="A381" t="str">
        <f>"Gummiverkstadsföretag"</f>
        <v>Gummiverkstadsföretag</v>
      </c>
      <c r="B381" t="str">
        <f t="shared" si="37"/>
        <v>Motorbranschens Arbetsgivareförbund</v>
      </c>
      <c r="C381" t="str">
        <f>"Svenska Transportarbetareförbundet"</f>
        <v>Svenska Transportarbetareförbundet</v>
      </c>
      <c r="D381" t="str">
        <f>"2025-03-31"</f>
        <v>2025-03-31</v>
      </c>
    </row>
    <row r="382" spans="1:4" x14ac:dyDescent="0.35">
      <c r="A382" t="str">
        <f>"Bensin- och garageavtal"</f>
        <v>Bensin- och garageavtal</v>
      </c>
      <c r="B382" t="str">
        <f t="shared" si="37"/>
        <v>Motorbranschens Arbetsgivareförbund</v>
      </c>
      <c r="C382" t="str">
        <f>"Svenska Transportarbetareförbundet"</f>
        <v>Svenska Transportarbetareförbundet</v>
      </c>
      <c r="D382" t="str">
        <f>"2025-04-30"</f>
        <v>2025-04-30</v>
      </c>
    </row>
    <row r="383" spans="1:4" x14ac:dyDescent="0.35">
      <c r="A383" t="str">
        <f>"Tjänstemannaavtal"</f>
        <v>Tjänstemannaavtal</v>
      </c>
      <c r="B383" t="str">
        <f t="shared" si="37"/>
        <v>Motorbranschens Arbetsgivareförbund</v>
      </c>
      <c r="C383" t="str">
        <f>"Sveriges Ingenjörer"</f>
        <v>Sveriges Ingenjörer</v>
      </c>
      <c r="D383" t="str">
        <f>"2025-04-30"</f>
        <v>2025-04-30</v>
      </c>
    </row>
    <row r="384" spans="1:4" x14ac:dyDescent="0.35">
      <c r="A384" t="str">
        <f>"Tjänstemannaavtal"</f>
        <v>Tjänstemannaavtal</v>
      </c>
      <c r="B384" t="str">
        <f t="shared" si="37"/>
        <v>Motorbranschens Arbetsgivareförbund</v>
      </c>
      <c r="C384" t="str">
        <f>"Unionen"</f>
        <v>Unionen</v>
      </c>
      <c r="D384" t="str">
        <f>"2025-04-30"</f>
        <v>2025-04-30</v>
      </c>
    </row>
    <row r="385" spans="1:4" x14ac:dyDescent="0.35">
      <c r="A385" t="str">
        <f>"Tjänstemannaavtal"</f>
        <v>Tjänstemannaavtal</v>
      </c>
      <c r="B385" t="str">
        <f>"Måleriföretagen i Sverige"</f>
        <v>Måleriföretagen i Sverige</v>
      </c>
      <c r="C385" t="str">
        <f>"Ledarna"</f>
        <v>Ledarna</v>
      </c>
      <c r="D385" t="str">
        <f>""</f>
        <v/>
      </c>
    </row>
    <row r="386" spans="1:4" x14ac:dyDescent="0.35">
      <c r="A386" t="str">
        <f>"Måleriavtalet"</f>
        <v>Måleriavtalet</v>
      </c>
      <c r="B386" t="str">
        <f>"Måleriföretagen i Sverige"</f>
        <v>Måleriföretagen i Sverige</v>
      </c>
      <c r="C386" t="str">
        <f>"Svenska Målareförbundet"</f>
        <v>Svenska Målareförbundet</v>
      </c>
      <c r="D386" t="str">
        <f>"2025-04-30"</f>
        <v>2025-04-30</v>
      </c>
    </row>
    <row r="387" spans="1:4" x14ac:dyDescent="0.35">
      <c r="A387" t="str">
        <f>"Tjänstemannaavtal"</f>
        <v>Tjänstemannaavtal</v>
      </c>
      <c r="B387" t="str">
        <f>"Måleriföretagen i Sverige"</f>
        <v>Måleriföretagen i Sverige</v>
      </c>
      <c r="C387" t="str">
        <f>"Sveriges Ingenjörer"</f>
        <v>Sveriges Ingenjörer</v>
      </c>
      <c r="D387" t="str">
        <f>"2025-04-30"</f>
        <v>2025-04-30</v>
      </c>
    </row>
    <row r="388" spans="1:4" x14ac:dyDescent="0.35">
      <c r="A388" t="str">
        <f>"Tjänstemannaavtal"</f>
        <v>Tjänstemannaavtal</v>
      </c>
      <c r="B388" t="str">
        <f>"Måleriföretagen i Sverige"</f>
        <v>Måleriföretagen i Sverige</v>
      </c>
      <c r="C388" t="str">
        <f>"Unionen"</f>
        <v>Unionen</v>
      </c>
      <c r="D388" t="str">
        <f>"2025-04-30"</f>
        <v>2025-04-30</v>
      </c>
    </row>
    <row r="389" spans="1:4" x14ac:dyDescent="0.35">
      <c r="A389" t="str">
        <f>"Tjänstemannaavtal"</f>
        <v>Tjänstemannaavtal</v>
      </c>
      <c r="B389" t="str">
        <f>"Plåt &amp; Ventföretagen"</f>
        <v>Plåt &amp; Ventföretagen</v>
      </c>
      <c r="C389" t="str">
        <f>"Ledarna"</f>
        <v>Ledarna</v>
      </c>
      <c r="D389" t="str">
        <f>""</f>
        <v/>
      </c>
    </row>
    <row r="390" spans="1:4" x14ac:dyDescent="0.35">
      <c r="A390" t="str">
        <f>"Plåt- och Ventilationsavtal"</f>
        <v>Plåt- och Ventilationsavtal</v>
      </c>
      <c r="B390" t="str">
        <f>"Plåt &amp; Ventföretagen"</f>
        <v>Plåt &amp; Ventföretagen</v>
      </c>
      <c r="C390" t="str">
        <f>"Svenska Byggnadsarbetareförbundet"</f>
        <v>Svenska Byggnadsarbetareförbundet</v>
      </c>
      <c r="D390" t="str">
        <f>"2025-04-30"</f>
        <v>2025-04-30</v>
      </c>
    </row>
    <row r="391" spans="1:4" x14ac:dyDescent="0.35">
      <c r="A391" t="str">
        <f>"Tjänstemannaavtal"</f>
        <v>Tjänstemannaavtal</v>
      </c>
      <c r="B391" t="str">
        <f>"Plåt &amp; Ventföretagen"</f>
        <v>Plåt &amp; Ventföretagen</v>
      </c>
      <c r="C391" t="str">
        <f>"Sveriges Ingenjörer"</f>
        <v>Sveriges Ingenjörer</v>
      </c>
      <c r="D391" t="str">
        <f>"2025-04-30"</f>
        <v>2025-04-30</v>
      </c>
    </row>
    <row r="392" spans="1:4" x14ac:dyDescent="0.35">
      <c r="A392" t="str">
        <f>"Tjänstemannaavtal"</f>
        <v>Tjänstemannaavtal</v>
      </c>
      <c r="B392" t="str">
        <f>"Plåt &amp; Ventföretagen"</f>
        <v>Plåt &amp; Ventföretagen</v>
      </c>
      <c r="C392" t="str">
        <f>"Unionen"</f>
        <v>Unionen</v>
      </c>
      <c r="D392" t="str">
        <f>"2025-04-30"</f>
        <v>2025-04-30</v>
      </c>
    </row>
    <row r="393" spans="1:4" x14ac:dyDescent="0.35">
      <c r="A393" t="str">
        <f>"Industriavtalet"</f>
        <v>Industriavtalet</v>
      </c>
      <c r="B393" t="str">
        <f t="shared" ref="B393:B404" si="38">"Sinf"</f>
        <v>Sinf</v>
      </c>
      <c r="C393" t="str">
        <f>"IF Metall"</f>
        <v>IF Metall</v>
      </c>
      <c r="D393" t="str">
        <f>"2025-05-31"</f>
        <v>2025-05-31</v>
      </c>
    </row>
    <row r="394" spans="1:4" x14ac:dyDescent="0.35">
      <c r="A394" t="str">
        <f>"Ledaravtal"</f>
        <v>Ledaravtal</v>
      </c>
      <c r="B394" t="str">
        <f t="shared" si="38"/>
        <v>Sinf</v>
      </c>
      <c r="C394" t="str">
        <f>"Ledarna"</f>
        <v>Ledarna</v>
      </c>
      <c r="D394" t="str">
        <f>""</f>
        <v/>
      </c>
    </row>
    <row r="395" spans="1:4" x14ac:dyDescent="0.35">
      <c r="A395" t="str">
        <f>"Tunnbröd"</f>
        <v>Tunnbröd</v>
      </c>
      <c r="B395" t="str">
        <f t="shared" si="38"/>
        <v>Sinf</v>
      </c>
      <c r="C395" t="str">
        <f>"Livsmedelsarbetareförbundet"</f>
        <v>Livsmedelsarbetareförbundet</v>
      </c>
      <c r="D395" t="str">
        <f t="shared" ref="D395:D405" si="39">"2025-03-31"</f>
        <v>2025-03-31</v>
      </c>
    </row>
    <row r="396" spans="1:4" x14ac:dyDescent="0.35">
      <c r="A396" t="str">
        <f>"Sötvaruavtalet"</f>
        <v>Sötvaruavtalet</v>
      </c>
      <c r="B396" t="str">
        <f t="shared" si="38"/>
        <v>Sinf</v>
      </c>
      <c r="C396" t="str">
        <f>"Livsmedelsarbetareförbundet"</f>
        <v>Livsmedelsarbetareförbundet</v>
      </c>
      <c r="D396" t="str">
        <f t="shared" si="39"/>
        <v>2025-03-31</v>
      </c>
    </row>
    <row r="397" spans="1:4" x14ac:dyDescent="0.35">
      <c r="A397" t="str">
        <f>"Spisbröd"</f>
        <v>Spisbröd</v>
      </c>
      <c r="B397" t="str">
        <f t="shared" si="38"/>
        <v>Sinf</v>
      </c>
      <c r="C397" t="str">
        <f>"Livsmedelsarbetareförbundet"</f>
        <v>Livsmedelsarbetareförbundet</v>
      </c>
      <c r="D397" t="str">
        <f t="shared" si="39"/>
        <v>2025-03-31</v>
      </c>
    </row>
    <row r="398" spans="1:4" x14ac:dyDescent="0.35">
      <c r="A398" t="str">
        <f>"Tjänstemannaavtal (IKEM - Unionen)"</f>
        <v>Tjänstemannaavtal (IKEM - Unionen)</v>
      </c>
      <c r="B398" t="str">
        <f t="shared" si="38"/>
        <v>Sinf</v>
      </c>
      <c r="C398" t="str">
        <f t="shared" ref="C398:C404" si="40">"Unionen"</f>
        <v>Unionen</v>
      </c>
      <c r="D398" t="str">
        <f t="shared" si="39"/>
        <v>2025-03-31</v>
      </c>
    </row>
    <row r="399" spans="1:4" x14ac:dyDescent="0.35">
      <c r="A399" t="str">
        <f>"Tjänstemannaavtal (Teko-Unionen)"</f>
        <v>Tjänstemannaavtal (Teko-Unionen)</v>
      </c>
      <c r="B399" t="str">
        <f t="shared" si="38"/>
        <v>Sinf</v>
      </c>
      <c r="C399" t="str">
        <f t="shared" si="40"/>
        <v>Unionen</v>
      </c>
      <c r="D399" t="str">
        <f t="shared" si="39"/>
        <v>2025-03-31</v>
      </c>
    </row>
    <row r="400" spans="1:4" x14ac:dyDescent="0.35">
      <c r="A400" t="str">
        <f>"Tjänstemannaavtal (Livsmedelsföretagen - Unionen)"</f>
        <v>Tjänstemannaavtal (Livsmedelsföretagen - Unionen)</v>
      </c>
      <c r="B400" t="str">
        <f t="shared" si="38"/>
        <v>Sinf</v>
      </c>
      <c r="C400" t="str">
        <f t="shared" si="40"/>
        <v>Unionen</v>
      </c>
      <c r="D400" t="str">
        <f t="shared" si="39"/>
        <v>2025-03-31</v>
      </c>
    </row>
    <row r="401" spans="1:4" x14ac:dyDescent="0.35">
      <c r="A401" t="str">
        <f>"Tjänstemannaavtal (SVEMEK - Unionen)"</f>
        <v>Tjänstemannaavtal (SVEMEK - Unionen)</v>
      </c>
      <c r="B401" t="str">
        <f t="shared" si="38"/>
        <v>Sinf</v>
      </c>
      <c r="C401" t="str">
        <f t="shared" si="40"/>
        <v>Unionen</v>
      </c>
      <c r="D401" t="str">
        <f t="shared" si="39"/>
        <v>2025-03-31</v>
      </c>
    </row>
    <row r="402" spans="1:4" x14ac:dyDescent="0.35">
      <c r="A402" t="str">
        <f>"Träindustri (Trä- och Möbelföretagen - Unionen)"</f>
        <v>Träindustri (Trä- och Möbelföretagen - Unionen)</v>
      </c>
      <c r="B402" t="str">
        <f t="shared" si="38"/>
        <v>Sinf</v>
      </c>
      <c r="C402" t="str">
        <f t="shared" si="40"/>
        <v>Unionen</v>
      </c>
      <c r="D402" t="str">
        <f t="shared" si="39"/>
        <v>2025-03-31</v>
      </c>
    </row>
    <row r="403" spans="1:4" x14ac:dyDescent="0.35">
      <c r="A403" t="str">
        <f>"IT-branschen (TechSverige - Unionen)"</f>
        <v>IT-branschen (TechSverige - Unionen)</v>
      </c>
      <c r="B403" t="str">
        <f t="shared" si="38"/>
        <v>Sinf</v>
      </c>
      <c r="C403" t="str">
        <f t="shared" si="40"/>
        <v>Unionen</v>
      </c>
      <c r="D403" t="str">
        <f t="shared" si="39"/>
        <v>2025-03-31</v>
      </c>
    </row>
    <row r="404" spans="1:4" x14ac:dyDescent="0.35">
      <c r="A404" t="str">
        <f>"Teknikavtal Tjänstemän (Teknikarbetsgivarna - Unionen)"</f>
        <v>Teknikavtal Tjänstemän (Teknikarbetsgivarna - Unionen)</v>
      </c>
      <c r="B404" t="str">
        <f t="shared" si="38"/>
        <v>Sinf</v>
      </c>
      <c r="C404" t="str">
        <f t="shared" si="40"/>
        <v>Unionen</v>
      </c>
      <c r="D404" t="str">
        <f t="shared" si="39"/>
        <v>2025-03-31</v>
      </c>
    </row>
    <row r="405" spans="1:4" x14ac:dyDescent="0.35">
      <c r="A405" t="str">
        <f>"Ombordanställda"</f>
        <v>Ombordanställda</v>
      </c>
      <c r="B405" t="str">
        <f>"Sjöfartens Arbetsgivareförbund"</f>
        <v>Sjöfartens Arbetsgivareförbund</v>
      </c>
      <c r="C405" t="str">
        <f>"Seko, Service- och kommunikationsfacket"</f>
        <v>Seko, Service- och kommunikationsfacket</v>
      </c>
      <c r="D405" t="str">
        <f t="shared" si="39"/>
        <v>2025-03-31</v>
      </c>
    </row>
    <row r="406" spans="1:4" x14ac:dyDescent="0.35">
      <c r="A406" t="str">
        <f>"Sjöbefäl"</f>
        <v>Sjöbefäl</v>
      </c>
      <c r="B406" t="str">
        <f>"Sjöfartens Arbetsgivareförbund"</f>
        <v>Sjöfartens Arbetsgivareförbund</v>
      </c>
      <c r="C406" t="str">
        <f>"Sjöbefälsföreningen"</f>
        <v>Sjöbefälsföreningen</v>
      </c>
      <c r="D406" t="str">
        <f>"2025-01-31"</f>
        <v>2025-01-31</v>
      </c>
    </row>
    <row r="407" spans="1:4" x14ac:dyDescent="0.35">
      <c r="A407" t="str">
        <f>"Tjänstemannaavtalet för Transportföretagen"</f>
        <v>Tjänstemannaavtalet för Transportföretagen</v>
      </c>
      <c r="B407" t="str">
        <f>"Sjöfartens Arbetsgivareförbund"</f>
        <v>Sjöfartens Arbetsgivareförbund</v>
      </c>
      <c r="C407" t="str">
        <f>"Sveriges Ingenjörer"</f>
        <v>Sveriges Ingenjörer</v>
      </c>
      <c r="D407" t="str">
        <f>"2025-04-30"</f>
        <v>2025-04-30</v>
      </c>
    </row>
    <row r="408" spans="1:4" x14ac:dyDescent="0.35">
      <c r="A408" t="str">
        <f>"Tjänstemannaavtalet för Transportföretagen"</f>
        <v>Tjänstemannaavtalet för Transportföretagen</v>
      </c>
      <c r="B408" t="str">
        <f>"Sjöfartens Arbetsgivareförbund"</f>
        <v>Sjöfartens Arbetsgivareförbund</v>
      </c>
      <c r="C408" t="str">
        <f>"Unionen"</f>
        <v>Unionen</v>
      </c>
      <c r="D408" t="str">
        <f>"2025-04-30"</f>
        <v>2025-04-30</v>
      </c>
    </row>
    <row r="409" spans="1:4" x14ac:dyDescent="0.35">
      <c r="A409" t="str">
        <f>"BEA"</f>
        <v>BEA</v>
      </c>
      <c r="B409" t="str">
        <f t="shared" ref="B409:B428" si="41">"SKR - Sveriges Kommuner och Regioner"</f>
        <v>SKR - Sveriges Kommuner och Regioner</v>
      </c>
      <c r="C409" t="str">
        <f>"AkademikerAlliansen"</f>
        <v>AkademikerAlliansen</v>
      </c>
      <c r="D409" t="str">
        <f>""</f>
        <v/>
      </c>
    </row>
    <row r="410" spans="1:4" x14ac:dyDescent="0.35">
      <c r="A410" t="str">
        <f>"Avtalsområde AkademikerAlliansen"</f>
        <v>Avtalsområde AkademikerAlliansen</v>
      </c>
      <c r="B410" t="str">
        <f t="shared" si="41"/>
        <v>SKR - Sveriges Kommuner och Regioner</v>
      </c>
      <c r="C410" t="str">
        <f>"AkademikerAlliansen"</f>
        <v>AkademikerAlliansen</v>
      </c>
      <c r="D410" t="str">
        <f>""</f>
        <v/>
      </c>
    </row>
    <row r="411" spans="1:4" x14ac:dyDescent="0.35">
      <c r="A411" t="str">
        <f>"BEA"</f>
        <v>BEA</v>
      </c>
      <c r="B411" t="str">
        <f t="shared" si="41"/>
        <v>SKR - Sveriges Kommuner och Regioner</v>
      </c>
      <c r="C411" t="str">
        <f>"Akademikerförbundet SSR"</f>
        <v>Akademikerförbundet SSR</v>
      </c>
      <c r="D411" t="str">
        <f>""</f>
        <v/>
      </c>
    </row>
    <row r="412" spans="1:4" x14ac:dyDescent="0.35">
      <c r="A412" t="str">
        <f>"OFR - Allmän Kommunal verksamhet"</f>
        <v>OFR - Allmän Kommunal verksamhet</v>
      </c>
      <c r="B412" t="str">
        <f t="shared" si="41"/>
        <v>SKR - Sveriges Kommuner och Regioner</v>
      </c>
      <c r="C412" t="str">
        <f>"Akademikerförbundet SSR"</f>
        <v>Akademikerförbundet SSR</v>
      </c>
      <c r="D412" t="str">
        <f>"2025-03-31"</f>
        <v>2025-03-31</v>
      </c>
    </row>
    <row r="413" spans="1:4" x14ac:dyDescent="0.35">
      <c r="A413" t="str">
        <f>"RiB"</f>
        <v>RiB</v>
      </c>
      <c r="B413" t="str">
        <f t="shared" si="41"/>
        <v>SKR - Sveriges Kommuner och Regioner</v>
      </c>
      <c r="C413" t="str">
        <f>"Brandmännens Riksförbund"</f>
        <v>Brandmännens Riksförbund</v>
      </c>
      <c r="D413" t="str">
        <f>"2024-04-30"</f>
        <v>2024-04-30</v>
      </c>
    </row>
    <row r="414" spans="1:4" x14ac:dyDescent="0.35">
      <c r="A414" t="str">
        <f>"BEA"</f>
        <v>BEA</v>
      </c>
      <c r="B414" t="str">
        <f t="shared" si="41"/>
        <v>SKR - Sveriges Kommuner och Regioner</v>
      </c>
      <c r="C414" t="str">
        <f>"Ledarna"</f>
        <v>Ledarna</v>
      </c>
      <c r="D414" t="str">
        <f>""</f>
        <v/>
      </c>
    </row>
    <row r="415" spans="1:4" x14ac:dyDescent="0.35">
      <c r="A415" t="str">
        <f>"OFR - Allmän Kommunal verksamhet"</f>
        <v>OFR - Allmän Kommunal verksamhet</v>
      </c>
      <c r="B415" t="str">
        <f t="shared" si="41"/>
        <v>SKR - Sveriges Kommuner och Regioner</v>
      </c>
      <c r="C415" t="str">
        <f>"Ledarna"</f>
        <v>Ledarna</v>
      </c>
      <c r="D415" t="str">
        <f>"2025-03-31"</f>
        <v>2025-03-31</v>
      </c>
    </row>
    <row r="416" spans="1:4" x14ac:dyDescent="0.35">
      <c r="A416" t="str">
        <f>"BEA"</f>
        <v>BEA</v>
      </c>
      <c r="B416" t="str">
        <f t="shared" si="41"/>
        <v>SKR - Sveriges Kommuner och Regioner</v>
      </c>
      <c r="C416" t="str">
        <f>"Scen&amp;Film"</f>
        <v>Scen&amp;Film</v>
      </c>
      <c r="D416" t="str">
        <f>""</f>
        <v/>
      </c>
    </row>
    <row r="417" spans="1:4" x14ac:dyDescent="0.35">
      <c r="A417" t="str">
        <f>"OFR - Allmän Kommunal verksamhet"</f>
        <v>OFR - Allmän Kommunal verksamhet</v>
      </c>
      <c r="B417" t="str">
        <f t="shared" si="41"/>
        <v>SKR - Sveriges Kommuner och Regioner</v>
      </c>
      <c r="C417" t="str">
        <f>"Scen&amp;Film"</f>
        <v>Scen&amp;Film</v>
      </c>
      <c r="D417" t="str">
        <f>"2025-03-31"</f>
        <v>2025-03-31</v>
      </c>
    </row>
    <row r="418" spans="1:4" x14ac:dyDescent="0.35">
      <c r="A418" t="str">
        <f>"BEA"</f>
        <v>BEA</v>
      </c>
      <c r="B418" t="str">
        <f t="shared" si="41"/>
        <v>SKR - Sveriges Kommuner och Regioner</v>
      </c>
      <c r="C418" t="str">
        <f>"Svenska Kommunalarbetareförbundet"</f>
        <v>Svenska Kommunalarbetareförbundet</v>
      </c>
      <c r="D418" t="str">
        <f>""</f>
        <v/>
      </c>
    </row>
    <row r="419" spans="1:4" x14ac:dyDescent="0.35">
      <c r="A419" t="str">
        <f>"RiB"</f>
        <v>RiB</v>
      </c>
      <c r="B419" t="str">
        <f t="shared" si="41"/>
        <v>SKR - Sveriges Kommuner och Regioner</v>
      </c>
      <c r="C419" t="str">
        <f>"Svenska Kommunalarbetareförbundet"</f>
        <v>Svenska Kommunalarbetareförbundet</v>
      </c>
      <c r="D419" t="str">
        <f>"2024-04-30"</f>
        <v>2024-04-30</v>
      </c>
    </row>
    <row r="420" spans="1:4" x14ac:dyDescent="0.35">
      <c r="A420" t="str">
        <f>"PAN"</f>
        <v>PAN</v>
      </c>
      <c r="B420" t="str">
        <f t="shared" si="41"/>
        <v>SKR - Sveriges Kommuner och Regioner</v>
      </c>
      <c r="C420" t="str">
        <f>"Svenska Kommunalarbetareförbundet"</f>
        <v>Svenska Kommunalarbetareförbundet</v>
      </c>
      <c r="D420" t="str">
        <f>"2025-03-31"</f>
        <v>2025-03-31</v>
      </c>
    </row>
    <row r="421" spans="1:4" x14ac:dyDescent="0.35">
      <c r="A421" t="str">
        <f>"Kommunalarbetareförbundet"</f>
        <v>Kommunalarbetareförbundet</v>
      </c>
      <c r="B421" t="str">
        <f t="shared" si="41"/>
        <v>SKR - Sveriges Kommuner och Regioner</v>
      </c>
      <c r="C421" t="str">
        <f>"Svenska Kommunalarbetareförbundet"</f>
        <v>Svenska Kommunalarbetareförbundet</v>
      </c>
      <c r="D421" t="str">
        <f>"2025-03-31"</f>
        <v>2025-03-31</v>
      </c>
    </row>
    <row r="422" spans="1:4" x14ac:dyDescent="0.35">
      <c r="A422" t="str">
        <f>"OFR - Läkare"</f>
        <v>OFR - Läkare</v>
      </c>
      <c r="B422" t="str">
        <f t="shared" si="41"/>
        <v>SKR - Sveriges Kommuner och Regioner</v>
      </c>
      <c r="C422" t="str">
        <f>"Sveriges Läkarförbund"</f>
        <v>Sveriges Läkarförbund</v>
      </c>
      <c r="D422" t="str">
        <f>"2025-03-31"</f>
        <v>2025-03-31</v>
      </c>
    </row>
    <row r="423" spans="1:4" x14ac:dyDescent="0.35">
      <c r="A423" t="str">
        <f>"BEA"</f>
        <v>BEA</v>
      </c>
      <c r="B423" t="str">
        <f t="shared" si="41"/>
        <v>SKR - Sveriges Kommuner och Regioner</v>
      </c>
      <c r="C423" t="str">
        <f>"Sveriges Lärare"</f>
        <v>Sveriges Lärare</v>
      </c>
      <c r="D423" t="str">
        <f>""</f>
        <v/>
      </c>
    </row>
    <row r="424" spans="1:4" x14ac:dyDescent="0.35">
      <c r="A424" t="str">
        <f>"OFR - Lärare"</f>
        <v>OFR - Lärare</v>
      </c>
      <c r="B424" t="str">
        <f t="shared" si="41"/>
        <v>SKR - Sveriges Kommuner och Regioner</v>
      </c>
      <c r="C424" t="str">
        <f>"Sveriges Lärare"</f>
        <v>Sveriges Lärare</v>
      </c>
      <c r="D424" t="str">
        <f>"2025-03-31"</f>
        <v>2025-03-31</v>
      </c>
    </row>
    <row r="425" spans="1:4" x14ac:dyDescent="0.35">
      <c r="A425" t="str">
        <f>"BEA"</f>
        <v>BEA</v>
      </c>
      <c r="B425" t="str">
        <f t="shared" si="41"/>
        <v>SKR - Sveriges Kommuner och Regioner</v>
      </c>
      <c r="C425" t="str">
        <f>"Vision"</f>
        <v>Vision</v>
      </c>
      <c r="D425" t="str">
        <f>""</f>
        <v/>
      </c>
    </row>
    <row r="426" spans="1:4" x14ac:dyDescent="0.35">
      <c r="A426" t="str">
        <f>"RiB"</f>
        <v>RiB</v>
      </c>
      <c r="B426" t="str">
        <f t="shared" si="41"/>
        <v>SKR - Sveriges Kommuner och Regioner</v>
      </c>
      <c r="C426" t="str">
        <f>"Vision"</f>
        <v>Vision</v>
      </c>
      <c r="D426" t="str">
        <f>"2024-04-30"</f>
        <v>2024-04-30</v>
      </c>
    </row>
    <row r="427" spans="1:4" x14ac:dyDescent="0.35">
      <c r="A427" t="str">
        <f>"OFR - Allmän Kommunal verksamhet"</f>
        <v>OFR - Allmän Kommunal verksamhet</v>
      </c>
      <c r="B427" t="str">
        <f t="shared" si="41"/>
        <v>SKR - Sveriges Kommuner och Regioner</v>
      </c>
      <c r="C427" t="str">
        <f>"Vision"</f>
        <v>Vision</v>
      </c>
      <c r="D427" t="str">
        <f>"2025-03-31"</f>
        <v>2025-03-31</v>
      </c>
    </row>
    <row r="428" spans="1:4" x14ac:dyDescent="0.35">
      <c r="A428" t="str">
        <f>"OFR Hälso- och sjukvård"</f>
        <v>OFR Hälso- och sjukvård</v>
      </c>
      <c r="B428" t="str">
        <f t="shared" si="41"/>
        <v>SKR - Sveriges Kommuner och Regioner</v>
      </c>
      <c r="C428" t="str">
        <f>"Vårdförbundet"</f>
        <v>Vårdförbundet</v>
      </c>
      <c r="D428" t="str">
        <f>"2024-03-31"</f>
        <v>2024-03-31</v>
      </c>
    </row>
    <row r="429" spans="1:4" x14ac:dyDescent="0.35">
      <c r="A429" t="str">
        <f>"BEA"</f>
        <v>BEA</v>
      </c>
      <c r="B429" t="str">
        <f t="shared" ref="B429:B460" si="42">"Sobona"</f>
        <v>Sobona</v>
      </c>
      <c r="C429" t="str">
        <f t="shared" ref="C429:C436" si="43">"AkademikerAlliansen"</f>
        <v>AkademikerAlliansen</v>
      </c>
      <c r="D429" t="str">
        <f>""</f>
        <v/>
      </c>
    </row>
    <row r="430" spans="1:4" x14ac:dyDescent="0.35">
      <c r="A430" t="str">
        <f>"Avtalsområde AkademikerAlliansen"</f>
        <v>Avtalsområde AkademikerAlliansen</v>
      </c>
      <c r="B430" t="str">
        <f t="shared" si="42"/>
        <v>Sobona</v>
      </c>
      <c r="C430" t="str">
        <f t="shared" si="43"/>
        <v>AkademikerAlliansen</v>
      </c>
      <c r="D430" t="str">
        <f>""</f>
        <v/>
      </c>
    </row>
    <row r="431" spans="1:4" x14ac:dyDescent="0.35">
      <c r="A431" t="str">
        <f>"BÖK Besöksnäring och Kulturarv"</f>
        <v>BÖK Besöksnäring och Kulturarv</v>
      </c>
      <c r="B431" t="str">
        <f t="shared" si="42"/>
        <v>Sobona</v>
      </c>
      <c r="C431" t="str">
        <f t="shared" si="43"/>
        <v>AkademikerAlliansen</v>
      </c>
      <c r="D431" t="str">
        <f>"2025-03-31"</f>
        <v>2025-03-31</v>
      </c>
    </row>
    <row r="432" spans="1:4" x14ac:dyDescent="0.35">
      <c r="A432" t="str">
        <f>"BÖK Vatten &amp; Miljö"</f>
        <v>BÖK Vatten &amp; Miljö</v>
      </c>
      <c r="B432" t="str">
        <f t="shared" si="42"/>
        <v>Sobona</v>
      </c>
      <c r="C432" t="str">
        <f t="shared" si="43"/>
        <v>AkademikerAlliansen</v>
      </c>
      <c r="D432" t="str">
        <f>"2025-03-31"</f>
        <v>2025-03-31</v>
      </c>
    </row>
    <row r="433" spans="1:4" x14ac:dyDescent="0.35">
      <c r="A433" t="str">
        <f>"BÖK Flygplatser"</f>
        <v>BÖK Flygplatser</v>
      </c>
      <c r="B433" t="str">
        <f t="shared" si="42"/>
        <v>Sobona</v>
      </c>
      <c r="C433" t="str">
        <f t="shared" si="43"/>
        <v>AkademikerAlliansen</v>
      </c>
      <c r="D433" t="str">
        <f>"2025-03-31"</f>
        <v>2025-03-31</v>
      </c>
    </row>
    <row r="434" spans="1:4" x14ac:dyDescent="0.35">
      <c r="A434" t="str">
        <f>"BÖK Energi"</f>
        <v>BÖK Energi</v>
      </c>
      <c r="B434" t="str">
        <f t="shared" si="42"/>
        <v>Sobona</v>
      </c>
      <c r="C434" t="str">
        <f t="shared" si="43"/>
        <v>AkademikerAlliansen</v>
      </c>
      <c r="D434" t="str">
        <f>"2025-03-31"</f>
        <v>2025-03-31</v>
      </c>
    </row>
    <row r="435" spans="1:4" x14ac:dyDescent="0.35">
      <c r="A435" t="str">
        <f>"BÖK Fastigheter"</f>
        <v>BÖK Fastigheter</v>
      </c>
      <c r="B435" t="str">
        <f t="shared" si="42"/>
        <v>Sobona</v>
      </c>
      <c r="C435" t="str">
        <f t="shared" si="43"/>
        <v>AkademikerAlliansen</v>
      </c>
      <c r="D435" t="str">
        <f>"2025-03-31"</f>
        <v>2025-03-31</v>
      </c>
    </row>
    <row r="436" spans="1:4" x14ac:dyDescent="0.35">
      <c r="A436" t="str">
        <f>"BÖK Trafik"</f>
        <v>BÖK Trafik</v>
      </c>
      <c r="B436" t="str">
        <f t="shared" si="42"/>
        <v>Sobona</v>
      </c>
      <c r="C436" t="str">
        <f t="shared" si="43"/>
        <v>AkademikerAlliansen</v>
      </c>
      <c r="D436" t="str">
        <f>"2025-09-30"</f>
        <v>2025-09-30</v>
      </c>
    </row>
    <row r="437" spans="1:4" x14ac:dyDescent="0.35">
      <c r="A437" t="str">
        <f>"BEA"</f>
        <v>BEA</v>
      </c>
      <c r="B437" t="str">
        <f t="shared" si="42"/>
        <v>Sobona</v>
      </c>
      <c r="C437" t="str">
        <f t="shared" ref="C437:C444" si="44">"Akademikerförbundet SSR"</f>
        <v>Akademikerförbundet SSR</v>
      </c>
      <c r="D437" t="str">
        <f>""</f>
        <v/>
      </c>
    </row>
    <row r="438" spans="1:4" x14ac:dyDescent="0.35">
      <c r="A438" t="str">
        <f>"OFR - Allmän Kommunal verksamhet"</f>
        <v>OFR - Allmän Kommunal verksamhet</v>
      </c>
      <c r="B438" t="str">
        <f t="shared" si="42"/>
        <v>Sobona</v>
      </c>
      <c r="C438" t="str">
        <f t="shared" si="44"/>
        <v>Akademikerförbundet SSR</v>
      </c>
      <c r="D438" t="str">
        <f t="shared" ref="D438:D443" si="45">"2025-03-31"</f>
        <v>2025-03-31</v>
      </c>
    </row>
    <row r="439" spans="1:4" x14ac:dyDescent="0.35">
      <c r="A439" t="str">
        <f>"BÖK Besöksnäring och Kulturarv"</f>
        <v>BÖK Besöksnäring och Kulturarv</v>
      </c>
      <c r="B439" t="str">
        <f t="shared" si="42"/>
        <v>Sobona</v>
      </c>
      <c r="C439" t="str">
        <f t="shared" si="44"/>
        <v>Akademikerförbundet SSR</v>
      </c>
      <c r="D439" t="str">
        <f t="shared" si="45"/>
        <v>2025-03-31</v>
      </c>
    </row>
    <row r="440" spans="1:4" x14ac:dyDescent="0.35">
      <c r="A440" t="str">
        <f>"BÖK Vatten &amp; Miljö"</f>
        <v>BÖK Vatten &amp; Miljö</v>
      </c>
      <c r="B440" t="str">
        <f t="shared" si="42"/>
        <v>Sobona</v>
      </c>
      <c r="C440" t="str">
        <f t="shared" si="44"/>
        <v>Akademikerförbundet SSR</v>
      </c>
      <c r="D440" t="str">
        <f t="shared" si="45"/>
        <v>2025-03-31</v>
      </c>
    </row>
    <row r="441" spans="1:4" x14ac:dyDescent="0.35">
      <c r="A441" t="str">
        <f>"BÖK Flygplatser"</f>
        <v>BÖK Flygplatser</v>
      </c>
      <c r="B441" t="str">
        <f t="shared" si="42"/>
        <v>Sobona</v>
      </c>
      <c r="C441" t="str">
        <f t="shared" si="44"/>
        <v>Akademikerförbundet SSR</v>
      </c>
      <c r="D441" t="str">
        <f t="shared" si="45"/>
        <v>2025-03-31</v>
      </c>
    </row>
    <row r="442" spans="1:4" x14ac:dyDescent="0.35">
      <c r="A442" t="str">
        <f>"BÖK Energi"</f>
        <v>BÖK Energi</v>
      </c>
      <c r="B442" t="str">
        <f t="shared" si="42"/>
        <v>Sobona</v>
      </c>
      <c r="C442" t="str">
        <f t="shared" si="44"/>
        <v>Akademikerförbundet SSR</v>
      </c>
      <c r="D442" t="str">
        <f t="shared" si="45"/>
        <v>2025-03-31</v>
      </c>
    </row>
    <row r="443" spans="1:4" x14ac:dyDescent="0.35">
      <c r="A443" t="str">
        <f>"BÖK Fastigheter"</f>
        <v>BÖK Fastigheter</v>
      </c>
      <c r="B443" t="str">
        <f t="shared" si="42"/>
        <v>Sobona</v>
      </c>
      <c r="C443" t="str">
        <f t="shared" si="44"/>
        <v>Akademikerförbundet SSR</v>
      </c>
      <c r="D443" t="str">
        <f t="shared" si="45"/>
        <v>2025-03-31</v>
      </c>
    </row>
    <row r="444" spans="1:4" x14ac:dyDescent="0.35">
      <c r="A444" t="str">
        <f>"BÖK Trafik"</f>
        <v>BÖK Trafik</v>
      </c>
      <c r="B444" t="str">
        <f t="shared" si="42"/>
        <v>Sobona</v>
      </c>
      <c r="C444" t="str">
        <f t="shared" si="44"/>
        <v>Akademikerförbundet SSR</v>
      </c>
      <c r="D444" t="str">
        <f>"2025-09-30"</f>
        <v>2025-09-30</v>
      </c>
    </row>
    <row r="445" spans="1:4" x14ac:dyDescent="0.35">
      <c r="A445" t="str">
        <f>"RiB"</f>
        <v>RiB</v>
      </c>
      <c r="B445" t="str">
        <f t="shared" si="42"/>
        <v>Sobona</v>
      </c>
      <c r="C445" t="str">
        <f>"Brandmännens Riksförbund"</f>
        <v>Brandmännens Riksförbund</v>
      </c>
      <c r="D445" t="str">
        <f>"2024-04-30"</f>
        <v>2024-04-30</v>
      </c>
    </row>
    <row r="446" spans="1:4" x14ac:dyDescent="0.35">
      <c r="A446" t="str">
        <f>"BÖK Fastigheter"</f>
        <v>BÖK Fastigheter</v>
      </c>
      <c r="B446" t="str">
        <f t="shared" si="42"/>
        <v>Sobona</v>
      </c>
      <c r="C446" t="str">
        <f>"Fastighetsanställdas Förbund"</f>
        <v>Fastighetsanställdas Förbund</v>
      </c>
      <c r="D446" t="str">
        <f>"2025-03-31"</f>
        <v>2025-03-31</v>
      </c>
    </row>
    <row r="447" spans="1:4" x14ac:dyDescent="0.35">
      <c r="A447" t="str">
        <f>"BEA"</f>
        <v>BEA</v>
      </c>
      <c r="B447" t="str">
        <f t="shared" si="42"/>
        <v>Sobona</v>
      </c>
      <c r="C447" t="str">
        <f t="shared" ref="C447:C454" si="46">"Ledarna"</f>
        <v>Ledarna</v>
      </c>
      <c r="D447" t="str">
        <f>""</f>
        <v/>
      </c>
    </row>
    <row r="448" spans="1:4" x14ac:dyDescent="0.35">
      <c r="A448" t="str">
        <f>"OFR - Allmän Kommunal verksamhet"</f>
        <v>OFR - Allmän Kommunal verksamhet</v>
      </c>
      <c r="B448" t="str">
        <f t="shared" si="42"/>
        <v>Sobona</v>
      </c>
      <c r="C448" t="str">
        <f t="shared" si="46"/>
        <v>Ledarna</v>
      </c>
      <c r="D448" t="str">
        <f t="shared" ref="D448:D453" si="47">"2025-03-31"</f>
        <v>2025-03-31</v>
      </c>
    </row>
    <row r="449" spans="1:4" x14ac:dyDescent="0.35">
      <c r="A449" t="str">
        <f>"BÖK Besöksnäring och Kulturarv"</f>
        <v>BÖK Besöksnäring och Kulturarv</v>
      </c>
      <c r="B449" t="str">
        <f t="shared" si="42"/>
        <v>Sobona</v>
      </c>
      <c r="C449" t="str">
        <f t="shared" si="46"/>
        <v>Ledarna</v>
      </c>
      <c r="D449" t="str">
        <f t="shared" si="47"/>
        <v>2025-03-31</v>
      </c>
    </row>
    <row r="450" spans="1:4" x14ac:dyDescent="0.35">
      <c r="A450" t="str">
        <f>"BÖK Vatten &amp; Miljö"</f>
        <v>BÖK Vatten &amp; Miljö</v>
      </c>
      <c r="B450" t="str">
        <f t="shared" si="42"/>
        <v>Sobona</v>
      </c>
      <c r="C450" t="str">
        <f t="shared" si="46"/>
        <v>Ledarna</v>
      </c>
      <c r="D450" t="str">
        <f t="shared" si="47"/>
        <v>2025-03-31</v>
      </c>
    </row>
    <row r="451" spans="1:4" x14ac:dyDescent="0.35">
      <c r="A451" t="str">
        <f>"BÖK Flygplatser"</f>
        <v>BÖK Flygplatser</v>
      </c>
      <c r="B451" t="str">
        <f t="shared" si="42"/>
        <v>Sobona</v>
      </c>
      <c r="C451" t="str">
        <f t="shared" si="46"/>
        <v>Ledarna</v>
      </c>
      <c r="D451" t="str">
        <f t="shared" si="47"/>
        <v>2025-03-31</v>
      </c>
    </row>
    <row r="452" spans="1:4" x14ac:dyDescent="0.35">
      <c r="A452" t="str">
        <f>"BÖK Energi"</f>
        <v>BÖK Energi</v>
      </c>
      <c r="B452" t="str">
        <f t="shared" si="42"/>
        <v>Sobona</v>
      </c>
      <c r="C452" t="str">
        <f t="shared" si="46"/>
        <v>Ledarna</v>
      </c>
      <c r="D452" t="str">
        <f t="shared" si="47"/>
        <v>2025-03-31</v>
      </c>
    </row>
    <row r="453" spans="1:4" x14ac:dyDescent="0.35">
      <c r="A453" t="str">
        <f>"BÖK Fastigheter"</f>
        <v>BÖK Fastigheter</v>
      </c>
      <c r="B453" t="str">
        <f t="shared" si="42"/>
        <v>Sobona</v>
      </c>
      <c r="C453" t="str">
        <f t="shared" si="46"/>
        <v>Ledarna</v>
      </c>
      <c r="D453" t="str">
        <f t="shared" si="47"/>
        <v>2025-03-31</v>
      </c>
    </row>
    <row r="454" spans="1:4" x14ac:dyDescent="0.35">
      <c r="A454" t="str">
        <f>"BÖK Trafik"</f>
        <v>BÖK Trafik</v>
      </c>
      <c r="B454" t="str">
        <f t="shared" si="42"/>
        <v>Sobona</v>
      </c>
      <c r="C454" t="str">
        <f t="shared" si="46"/>
        <v>Ledarna</v>
      </c>
      <c r="D454" t="str">
        <f>"2025-09-30"</f>
        <v>2025-09-30</v>
      </c>
    </row>
    <row r="455" spans="1:4" x14ac:dyDescent="0.35">
      <c r="A455" t="str">
        <f>"BEA"</f>
        <v>BEA</v>
      </c>
      <c r="B455" t="str">
        <f t="shared" si="42"/>
        <v>Sobona</v>
      </c>
      <c r="C455" t="str">
        <f t="shared" ref="C455:C462" si="48">"Scen&amp;Film"</f>
        <v>Scen&amp;Film</v>
      </c>
      <c r="D455" t="str">
        <f>""</f>
        <v/>
      </c>
    </row>
    <row r="456" spans="1:4" x14ac:dyDescent="0.35">
      <c r="A456" t="str">
        <f>"OFR - Allmän Kommunal verksamhet"</f>
        <v>OFR - Allmän Kommunal verksamhet</v>
      </c>
      <c r="B456" t="str">
        <f t="shared" si="42"/>
        <v>Sobona</v>
      </c>
      <c r="C456" t="str">
        <f t="shared" si="48"/>
        <v>Scen&amp;Film</v>
      </c>
      <c r="D456" t="str">
        <f t="shared" ref="D456:D461" si="49">"2025-03-31"</f>
        <v>2025-03-31</v>
      </c>
    </row>
    <row r="457" spans="1:4" x14ac:dyDescent="0.35">
      <c r="A457" t="str">
        <f>"BÖK Besöksnäring och Kulturarv"</f>
        <v>BÖK Besöksnäring och Kulturarv</v>
      </c>
      <c r="B457" t="str">
        <f t="shared" si="42"/>
        <v>Sobona</v>
      </c>
      <c r="C457" t="str">
        <f t="shared" si="48"/>
        <v>Scen&amp;Film</v>
      </c>
      <c r="D457" t="str">
        <f t="shared" si="49"/>
        <v>2025-03-31</v>
      </c>
    </row>
    <row r="458" spans="1:4" x14ac:dyDescent="0.35">
      <c r="A458" t="str">
        <f>"BÖK Vatten &amp; Miljö"</f>
        <v>BÖK Vatten &amp; Miljö</v>
      </c>
      <c r="B458" t="str">
        <f t="shared" si="42"/>
        <v>Sobona</v>
      </c>
      <c r="C458" t="str">
        <f t="shared" si="48"/>
        <v>Scen&amp;Film</v>
      </c>
      <c r="D458" t="str">
        <f t="shared" si="49"/>
        <v>2025-03-31</v>
      </c>
    </row>
    <row r="459" spans="1:4" x14ac:dyDescent="0.35">
      <c r="A459" t="str">
        <f>"BÖK Flygplatser"</f>
        <v>BÖK Flygplatser</v>
      </c>
      <c r="B459" t="str">
        <f t="shared" si="42"/>
        <v>Sobona</v>
      </c>
      <c r="C459" t="str">
        <f t="shared" si="48"/>
        <v>Scen&amp;Film</v>
      </c>
      <c r="D459" t="str">
        <f t="shared" si="49"/>
        <v>2025-03-31</v>
      </c>
    </row>
    <row r="460" spans="1:4" x14ac:dyDescent="0.35">
      <c r="A460" t="str">
        <f>"BÖK Energi"</f>
        <v>BÖK Energi</v>
      </c>
      <c r="B460" t="str">
        <f t="shared" si="42"/>
        <v>Sobona</v>
      </c>
      <c r="C460" t="str">
        <f t="shared" si="48"/>
        <v>Scen&amp;Film</v>
      </c>
      <c r="D460" t="str">
        <f t="shared" si="49"/>
        <v>2025-03-31</v>
      </c>
    </row>
    <row r="461" spans="1:4" x14ac:dyDescent="0.35">
      <c r="A461" t="str">
        <f>"BÖK Fastigheter"</f>
        <v>BÖK Fastigheter</v>
      </c>
      <c r="B461" t="str">
        <f t="shared" ref="B461:B490" si="50">"Sobona"</f>
        <v>Sobona</v>
      </c>
      <c r="C461" t="str">
        <f t="shared" si="48"/>
        <v>Scen&amp;Film</v>
      </c>
      <c r="D461" t="str">
        <f t="shared" si="49"/>
        <v>2025-03-31</v>
      </c>
    </row>
    <row r="462" spans="1:4" x14ac:dyDescent="0.35">
      <c r="A462" t="str">
        <f>"BÖK Trafik"</f>
        <v>BÖK Trafik</v>
      </c>
      <c r="B462" t="str">
        <f t="shared" si="50"/>
        <v>Sobona</v>
      </c>
      <c r="C462" t="str">
        <f t="shared" si="48"/>
        <v>Scen&amp;Film</v>
      </c>
      <c r="D462" t="str">
        <f>"2025-09-30"</f>
        <v>2025-09-30</v>
      </c>
    </row>
    <row r="463" spans="1:4" x14ac:dyDescent="0.35">
      <c r="A463" t="str">
        <f>"BÖK Flygplatser"</f>
        <v>BÖK Flygplatser</v>
      </c>
      <c r="B463" t="str">
        <f t="shared" si="50"/>
        <v>Sobona</v>
      </c>
      <c r="C463" t="str">
        <f>"Seko, Service- och kommunikationsfacket"</f>
        <v>Seko, Service- och kommunikationsfacket</v>
      </c>
      <c r="D463" t="str">
        <f>"2025-03-31"</f>
        <v>2025-03-31</v>
      </c>
    </row>
    <row r="464" spans="1:4" x14ac:dyDescent="0.35">
      <c r="A464" t="str">
        <f>"BÖK Energi"</f>
        <v>BÖK Energi</v>
      </c>
      <c r="B464" t="str">
        <f t="shared" si="50"/>
        <v>Sobona</v>
      </c>
      <c r="C464" t="str">
        <f>"Seko, Service- och kommunikationsfacket"</f>
        <v>Seko, Service- och kommunikationsfacket</v>
      </c>
      <c r="D464" t="str">
        <f>"2025-03-31"</f>
        <v>2025-03-31</v>
      </c>
    </row>
    <row r="465" spans="1:4" x14ac:dyDescent="0.35">
      <c r="A465" t="str">
        <f>"BEA"</f>
        <v>BEA</v>
      </c>
      <c r="B465" t="str">
        <f t="shared" si="50"/>
        <v>Sobona</v>
      </c>
      <c r="C465" t="str">
        <f t="shared" ref="C465:C475" si="51">"Svenska Kommunalarbetareförbundet"</f>
        <v>Svenska Kommunalarbetareförbundet</v>
      </c>
      <c r="D465" t="str">
        <f>""</f>
        <v/>
      </c>
    </row>
    <row r="466" spans="1:4" x14ac:dyDescent="0.35">
      <c r="A466" t="str">
        <f>"Personliga assistenter"</f>
        <v>Personliga assistenter</v>
      </c>
      <c r="B466" t="str">
        <f t="shared" si="50"/>
        <v>Sobona</v>
      </c>
      <c r="C466" t="str">
        <f t="shared" si="51"/>
        <v>Svenska Kommunalarbetareförbundet</v>
      </c>
      <c r="D466" t="str">
        <f>"2023-10-31"</f>
        <v>2023-10-31</v>
      </c>
    </row>
    <row r="467" spans="1:4" x14ac:dyDescent="0.35">
      <c r="A467" t="str">
        <f>"RiB"</f>
        <v>RiB</v>
      </c>
      <c r="B467" t="str">
        <f t="shared" si="50"/>
        <v>Sobona</v>
      </c>
      <c r="C467" t="str">
        <f t="shared" si="51"/>
        <v>Svenska Kommunalarbetareförbundet</v>
      </c>
      <c r="D467" t="str">
        <f>"2024-04-30"</f>
        <v>2024-04-30</v>
      </c>
    </row>
    <row r="468" spans="1:4" x14ac:dyDescent="0.35">
      <c r="A468" t="str">
        <f>"BÖK Vatten &amp; Miljö"</f>
        <v>BÖK Vatten &amp; Miljö</v>
      </c>
      <c r="B468" t="str">
        <f t="shared" si="50"/>
        <v>Sobona</v>
      </c>
      <c r="C468" t="str">
        <f t="shared" si="51"/>
        <v>Svenska Kommunalarbetareförbundet</v>
      </c>
      <c r="D468" t="str">
        <f t="shared" ref="D468:D474" si="52">"2025-03-31"</f>
        <v>2025-03-31</v>
      </c>
    </row>
    <row r="469" spans="1:4" x14ac:dyDescent="0.35">
      <c r="A469" t="str">
        <f>"BÖK Besöksnäring och Kulturarv"</f>
        <v>BÖK Besöksnäring och Kulturarv</v>
      </c>
      <c r="B469" t="str">
        <f t="shared" si="50"/>
        <v>Sobona</v>
      </c>
      <c r="C469" t="str">
        <f t="shared" si="51"/>
        <v>Svenska Kommunalarbetareförbundet</v>
      </c>
      <c r="D469" t="str">
        <f t="shared" si="52"/>
        <v>2025-03-31</v>
      </c>
    </row>
    <row r="470" spans="1:4" x14ac:dyDescent="0.35">
      <c r="A470" t="str">
        <f>"BÖK Energi"</f>
        <v>BÖK Energi</v>
      </c>
      <c r="B470" t="str">
        <f t="shared" si="50"/>
        <v>Sobona</v>
      </c>
      <c r="C470" t="str">
        <f t="shared" si="51"/>
        <v>Svenska Kommunalarbetareförbundet</v>
      </c>
      <c r="D470" t="str">
        <f t="shared" si="52"/>
        <v>2025-03-31</v>
      </c>
    </row>
    <row r="471" spans="1:4" x14ac:dyDescent="0.35">
      <c r="A471" t="str">
        <f>"BÖK Flygplatser"</f>
        <v>BÖK Flygplatser</v>
      </c>
      <c r="B471" t="str">
        <f t="shared" si="50"/>
        <v>Sobona</v>
      </c>
      <c r="C471" t="str">
        <f t="shared" si="51"/>
        <v>Svenska Kommunalarbetareförbundet</v>
      </c>
      <c r="D471" t="str">
        <f t="shared" si="52"/>
        <v>2025-03-31</v>
      </c>
    </row>
    <row r="472" spans="1:4" x14ac:dyDescent="0.35">
      <c r="A472" t="str">
        <f>"BÖK Fastigheter"</f>
        <v>BÖK Fastigheter</v>
      </c>
      <c r="B472" t="str">
        <f t="shared" si="50"/>
        <v>Sobona</v>
      </c>
      <c r="C472" t="str">
        <f t="shared" si="51"/>
        <v>Svenska Kommunalarbetareförbundet</v>
      </c>
      <c r="D472" t="str">
        <f t="shared" si="52"/>
        <v>2025-03-31</v>
      </c>
    </row>
    <row r="473" spans="1:4" x14ac:dyDescent="0.35">
      <c r="A473" t="str">
        <f>"PAN"</f>
        <v>PAN</v>
      </c>
      <c r="B473" t="str">
        <f t="shared" si="50"/>
        <v>Sobona</v>
      </c>
      <c r="C473" t="str">
        <f t="shared" si="51"/>
        <v>Svenska Kommunalarbetareförbundet</v>
      </c>
      <c r="D473" t="str">
        <f t="shared" si="52"/>
        <v>2025-03-31</v>
      </c>
    </row>
    <row r="474" spans="1:4" x14ac:dyDescent="0.35">
      <c r="A474" t="str">
        <f>"Kommunalarbetareförbundet"</f>
        <v>Kommunalarbetareförbundet</v>
      </c>
      <c r="B474" t="str">
        <f t="shared" si="50"/>
        <v>Sobona</v>
      </c>
      <c r="C474" t="str">
        <f t="shared" si="51"/>
        <v>Svenska Kommunalarbetareförbundet</v>
      </c>
      <c r="D474" t="str">
        <f t="shared" si="52"/>
        <v>2025-03-31</v>
      </c>
    </row>
    <row r="475" spans="1:4" x14ac:dyDescent="0.35">
      <c r="A475" t="str">
        <f>"BÖK Trafik"</f>
        <v>BÖK Trafik</v>
      </c>
      <c r="B475" t="str">
        <f t="shared" si="50"/>
        <v>Sobona</v>
      </c>
      <c r="C475" t="str">
        <f t="shared" si="51"/>
        <v>Svenska Kommunalarbetareförbundet</v>
      </c>
      <c r="D475" t="str">
        <f>"2025-09-30"</f>
        <v>2025-09-30</v>
      </c>
    </row>
    <row r="476" spans="1:4" x14ac:dyDescent="0.35">
      <c r="A476" t="str">
        <f>"BÖK Flygplatser"</f>
        <v>BÖK Flygplatser</v>
      </c>
      <c r="B476" t="str">
        <f t="shared" si="50"/>
        <v>Sobona</v>
      </c>
      <c r="C476" t="str">
        <f>"Svenska Transportarbetareförbundet"</f>
        <v>Svenska Transportarbetareförbundet</v>
      </c>
      <c r="D476" t="str">
        <f>"2025-03-31"</f>
        <v>2025-03-31</v>
      </c>
    </row>
    <row r="477" spans="1:4" x14ac:dyDescent="0.35">
      <c r="A477" t="str">
        <f>"BÖK Vatten &amp; Miljö"</f>
        <v>BÖK Vatten &amp; Miljö</v>
      </c>
      <c r="B477" t="str">
        <f t="shared" si="50"/>
        <v>Sobona</v>
      </c>
      <c r="C477" t="str">
        <f>"Svenska Transportarbetareförbundet"</f>
        <v>Svenska Transportarbetareförbundet</v>
      </c>
      <c r="D477" t="str">
        <f>"2025-03-31"</f>
        <v>2025-03-31</v>
      </c>
    </row>
    <row r="478" spans="1:4" x14ac:dyDescent="0.35">
      <c r="A478" t="str">
        <f>"OFR - Läkare"</f>
        <v>OFR - Läkare</v>
      </c>
      <c r="B478" t="str">
        <f t="shared" si="50"/>
        <v>Sobona</v>
      </c>
      <c r="C478" t="str">
        <f>"Sveriges Läkarförbund"</f>
        <v>Sveriges Läkarförbund</v>
      </c>
      <c r="D478" t="str">
        <f>"2025-03-31"</f>
        <v>2025-03-31</v>
      </c>
    </row>
    <row r="479" spans="1:4" x14ac:dyDescent="0.35">
      <c r="A479" t="str">
        <f>"BEA"</f>
        <v>BEA</v>
      </c>
      <c r="B479" t="str">
        <f t="shared" si="50"/>
        <v>Sobona</v>
      </c>
      <c r="C479" t="str">
        <f>"Sveriges Lärare"</f>
        <v>Sveriges Lärare</v>
      </c>
      <c r="D479" t="str">
        <f>""</f>
        <v/>
      </c>
    </row>
    <row r="480" spans="1:4" x14ac:dyDescent="0.35">
      <c r="A480" t="str">
        <f>"OFR - Lärare"</f>
        <v>OFR - Lärare</v>
      </c>
      <c r="B480" t="str">
        <f t="shared" si="50"/>
        <v>Sobona</v>
      </c>
      <c r="C480" t="str">
        <f>"Sveriges Lärare"</f>
        <v>Sveriges Lärare</v>
      </c>
      <c r="D480" t="str">
        <f>"2025-03-31"</f>
        <v>2025-03-31</v>
      </c>
    </row>
    <row r="481" spans="1:4" x14ac:dyDescent="0.35">
      <c r="A481" t="str">
        <f>"BEA"</f>
        <v>BEA</v>
      </c>
      <c r="B481" t="str">
        <f t="shared" si="50"/>
        <v>Sobona</v>
      </c>
      <c r="C481" t="str">
        <f t="shared" ref="C481:C489" si="53">"Vision"</f>
        <v>Vision</v>
      </c>
      <c r="D481" t="str">
        <f>""</f>
        <v/>
      </c>
    </row>
    <row r="482" spans="1:4" x14ac:dyDescent="0.35">
      <c r="A482" t="str">
        <f>"RiB"</f>
        <v>RiB</v>
      </c>
      <c r="B482" t="str">
        <f t="shared" si="50"/>
        <v>Sobona</v>
      </c>
      <c r="C482" t="str">
        <f t="shared" si="53"/>
        <v>Vision</v>
      </c>
      <c r="D482" t="str">
        <f>"2024-04-30"</f>
        <v>2024-04-30</v>
      </c>
    </row>
    <row r="483" spans="1:4" x14ac:dyDescent="0.35">
      <c r="A483" t="str">
        <f>"OFR - Allmän Kommunal verksamhet"</f>
        <v>OFR - Allmän Kommunal verksamhet</v>
      </c>
      <c r="B483" t="str">
        <f t="shared" si="50"/>
        <v>Sobona</v>
      </c>
      <c r="C483" t="str">
        <f t="shared" si="53"/>
        <v>Vision</v>
      </c>
      <c r="D483" t="str">
        <f t="shared" ref="D483:D488" si="54">"2025-03-31"</f>
        <v>2025-03-31</v>
      </c>
    </row>
    <row r="484" spans="1:4" x14ac:dyDescent="0.35">
      <c r="A484" t="str">
        <f>"BÖK Besöksnäring och Kulturarv"</f>
        <v>BÖK Besöksnäring och Kulturarv</v>
      </c>
      <c r="B484" t="str">
        <f t="shared" si="50"/>
        <v>Sobona</v>
      </c>
      <c r="C484" t="str">
        <f t="shared" si="53"/>
        <v>Vision</v>
      </c>
      <c r="D484" t="str">
        <f t="shared" si="54"/>
        <v>2025-03-31</v>
      </c>
    </row>
    <row r="485" spans="1:4" x14ac:dyDescent="0.35">
      <c r="A485" t="str">
        <f>"BÖK Vatten &amp; Miljö"</f>
        <v>BÖK Vatten &amp; Miljö</v>
      </c>
      <c r="B485" t="str">
        <f t="shared" si="50"/>
        <v>Sobona</v>
      </c>
      <c r="C485" t="str">
        <f t="shared" si="53"/>
        <v>Vision</v>
      </c>
      <c r="D485" t="str">
        <f t="shared" si="54"/>
        <v>2025-03-31</v>
      </c>
    </row>
    <row r="486" spans="1:4" x14ac:dyDescent="0.35">
      <c r="A486" t="str">
        <f>"BÖK Flygplatser"</f>
        <v>BÖK Flygplatser</v>
      </c>
      <c r="B486" t="str">
        <f t="shared" si="50"/>
        <v>Sobona</v>
      </c>
      <c r="C486" t="str">
        <f t="shared" si="53"/>
        <v>Vision</v>
      </c>
      <c r="D486" t="str">
        <f t="shared" si="54"/>
        <v>2025-03-31</v>
      </c>
    </row>
    <row r="487" spans="1:4" x14ac:dyDescent="0.35">
      <c r="A487" t="str">
        <f>"BÖK Energi"</f>
        <v>BÖK Energi</v>
      </c>
      <c r="B487" t="str">
        <f t="shared" si="50"/>
        <v>Sobona</v>
      </c>
      <c r="C487" t="str">
        <f t="shared" si="53"/>
        <v>Vision</v>
      </c>
      <c r="D487" t="str">
        <f t="shared" si="54"/>
        <v>2025-03-31</v>
      </c>
    </row>
    <row r="488" spans="1:4" x14ac:dyDescent="0.35">
      <c r="A488" t="str">
        <f>"BÖK Fastigheter"</f>
        <v>BÖK Fastigheter</v>
      </c>
      <c r="B488" t="str">
        <f t="shared" si="50"/>
        <v>Sobona</v>
      </c>
      <c r="C488" t="str">
        <f t="shared" si="53"/>
        <v>Vision</v>
      </c>
      <c r="D488" t="str">
        <f t="shared" si="54"/>
        <v>2025-03-31</v>
      </c>
    </row>
    <row r="489" spans="1:4" x14ac:dyDescent="0.35">
      <c r="A489" t="str">
        <f>"BÖK Trafik"</f>
        <v>BÖK Trafik</v>
      </c>
      <c r="B489" t="str">
        <f t="shared" si="50"/>
        <v>Sobona</v>
      </c>
      <c r="C489" t="str">
        <f t="shared" si="53"/>
        <v>Vision</v>
      </c>
      <c r="D489" t="str">
        <f>"2025-09-30"</f>
        <v>2025-09-30</v>
      </c>
    </row>
    <row r="490" spans="1:4" x14ac:dyDescent="0.35">
      <c r="A490" t="str">
        <f>"OFR Hälso- och sjukvård"</f>
        <v>OFR Hälso- och sjukvård</v>
      </c>
      <c r="B490" t="str">
        <f t="shared" si="50"/>
        <v>Sobona</v>
      </c>
      <c r="C490" t="str">
        <f>"Vårdförbundet"</f>
        <v>Vårdförbundet</v>
      </c>
      <c r="D490" t="str">
        <f>"2024-03-31"</f>
        <v>2024-03-31</v>
      </c>
    </row>
    <row r="491" spans="1:4" x14ac:dyDescent="0.35">
      <c r="A491" t="str">
        <f>"Tjänstemän vid Systembolaget AB"</f>
        <v>Tjänstemän vid Systembolaget AB</v>
      </c>
      <c r="B491" t="str">
        <f t="shared" ref="B491:B506" si="55">"Svensk Handel"</f>
        <v>Svensk Handel</v>
      </c>
      <c r="C491" t="str">
        <f>"Akademikerförbunden"</f>
        <v>Akademikerförbunden</v>
      </c>
      <c r="D491" t="str">
        <f>"2025-04-30"</f>
        <v>2025-04-30</v>
      </c>
    </row>
    <row r="492" spans="1:4" x14ac:dyDescent="0.35">
      <c r="A492" t="str">
        <f>"Handelns Tjänstemannaavtal"</f>
        <v>Handelns Tjänstemannaavtal</v>
      </c>
      <c r="B492" t="str">
        <f t="shared" si="55"/>
        <v>Svensk Handel</v>
      </c>
      <c r="C492" t="str">
        <f>"Akademikerförbunden"</f>
        <v>Akademikerförbunden</v>
      </c>
      <c r="D492" t="str">
        <f>"2025-04-30"</f>
        <v>2025-04-30</v>
      </c>
    </row>
    <row r="493" spans="1:4" x14ac:dyDescent="0.35">
      <c r="A493" t="str">
        <f>"Trävaruhandel"</f>
        <v>Trävaruhandel</v>
      </c>
      <c r="B493" t="str">
        <f t="shared" si="55"/>
        <v>Svensk Handel</v>
      </c>
      <c r="C493" t="str">
        <f>"GS Facket för skogs-, trä- och grafisk bransch"</f>
        <v>GS Facket för skogs-, trä- och grafisk bransch</v>
      </c>
      <c r="D493" t="str">
        <f>"2025-04-30"</f>
        <v>2025-04-30</v>
      </c>
    </row>
    <row r="494" spans="1:4" x14ac:dyDescent="0.35">
      <c r="A494" t="str">
        <f>"Detaljhandelsavtal"</f>
        <v>Detaljhandelsavtal</v>
      </c>
      <c r="B494" t="str">
        <f t="shared" si="55"/>
        <v>Svensk Handel</v>
      </c>
      <c r="C494" t="str">
        <f>"Handelsanställdas förbund"</f>
        <v>Handelsanställdas förbund</v>
      </c>
      <c r="D494" t="str">
        <f>"2025-03-31"</f>
        <v>2025-03-31</v>
      </c>
    </row>
    <row r="495" spans="1:4" x14ac:dyDescent="0.35">
      <c r="A495" t="str">
        <f>"Lager och e-handel"</f>
        <v>Lager och e-handel</v>
      </c>
      <c r="B495" t="str">
        <f t="shared" si="55"/>
        <v>Svensk Handel</v>
      </c>
      <c r="C495" t="str">
        <f>"Handelsanställdas förbund"</f>
        <v>Handelsanställdas förbund</v>
      </c>
      <c r="D495" t="str">
        <f>"2025-03-31"</f>
        <v>2025-03-31</v>
      </c>
    </row>
    <row r="496" spans="1:4" x14ac:dyDescent="0.35">
      <c r="A496" t="str">
        <f>"Lagerpersonal vid glassföretag"</f>
        <v>Lagerpersonal vid glassföretag</v>
      </c>
      <c r="B496" t="str">
        <f t="shared" si="55"/>
        <v>Svensk Handel</v>
      </c>
      <c r="C496" t="str">
        <f>"Handelsanställdas förbund"</f>
        <v>Handelsanställdas förbund</v>
      </c>
      <c r="D496" t="str">
        <f>"2025-03-31"</f>
        <v>2025-03-31</v>
      </c>
    </row>
    <row r="497" spans="1:4" x14ac:dyDescent="0.35">
      <c r="A497" t="str">
        <f>"Städpersonal inom detaljhandeln"</f>
        <v>Städpersonal inom detaljhandeln</v>
      </c>
      <c r="B497" t="str">
        <f t="shared" si="55"/>
        <v>Svensk Handel</v>
      </c>
      <c r="C497" t="str">
        <f>"Handelsanställdas förbund"</f>
        <v>Handelsanställdas förbund</v>
      </c>
      <c r="D497" t="str">
        <f>"2025-03-31"</f>
        <v>2025-03-31</v>
      </c>
    </row>
    <row r="498" spans="1:4" x14ac:dyDescent="0.35">
      <c r="A498" t="str">
        <f>"Restaurang- och caféanställda"</f>
        <v>Restaurang- och caféanställda</v>
      </c>
      <c r="B498" t="str">
        <f t="shared" si="55"/>
        <v>Svensk Handel</v>
      </c>
      <c r="C498" t="str">
        <f>"Hotell- och Restaurangfacket"</f>
        <v>Hotell- och Restaurangfacket</v>
      </c>
      <c r="D498" t="str">
        <f>"2025-04-30"</f>
        <v>2025-04-30</v>
      </c>
    </row>
    <row r="499" spans="1:4" x14ac:dyDescent="0.35">
      <c r="A499" t="str">
        <f>"Ledaravtal"</f>
        <v>Ledaravtal</v>
      </c>
      <c r="B499" t="str">
        <f t="shared" si="55"/>
        <v>Svensk Handel</v>
      </c>
      <c r="C499" t="str">
        <f>"Ledarna"</f>
        <v>Ledarna</v>
      </c>
      <c r="D499" t="str">
        <f>""</f>
        <v/>
      </c>
    </row>
    <row r="500" spans="1:4" x14ac:dyDescent="0.35">
      <c r="A500" t="str">
        <f>"Optiker"</f>
        <v>Optiker</v>
      </c>
      <c r="B500" t="str">
        <f t="shared" si="55"/>
        <v>Svensk Handel</v>
      </c>
      <c r="C500" t="str">
        <f>"SRAT"</f>
        <v>SRAT</v>
      </c>
      <c r="D500" t="str">
        <f>"2025-04-30"</f>
        <v>2025-04-30</v>
      </c>
    </row>
    <row r="501" spans="1:4" x14ac:dyDescent="0.35">
      <c r="A501" t="str">
        <f>"Radio-, TV-, Data- och Elektronikteknikeravtalet"</f>
        <v>Radio-, TV-, Data- och Elektronikteknikeravtalet</v>
      </c>
      <c r="B501" t="str">
        <f t="shared" si="55"/>
        <v>Svensk Handel</v>
      </c>
      <c r="C501" t="str">
        <f>"Svenska Elektrikerförbundet"</f>
        <v>Svenska Elektrikerförbundet</v>
      </c>
      <c r="D501" t="str">
        <f>"2025-05-31"</f>
        <v>2025-05-31</v>
      </c>
    </row>
    <row r="502" spans="1:4" x14ac:dyDescent="0.35">
      <c r="A502" t="str">
        <f>"Apoteksanställda"</f>
        <v>Apoteksanställda</v>
      </c>
      <c r="B502" t="str">
        <f t="shared" si="55"/>
        <v>Svensk Handel</v>
      </c>
      <c r="C502" t="str">
        <f>"Sveriges Farmaceuter"</f>
        <v>Sveriges Farmaceuter</v>
      </c>
      <c r="D502" t="str">
        <f>"2025-04-30"</f>
        <v>2025-04-30</v>
      </c>
    </row>
    <row r="503" spans="1:4" x14ac:dyDescent="0.35">
      <c r="A503" t="str">
        <f>"Apoteksanställda"</f>
        <v>Apoteksanställda</v>
      </c>
      <c r="B503" t="str">
        <f t="shared" si="55"/>
        <v>Svensk Handel</v>
      </c>
      <c r="C503" t="str">
        <f>"Unionen"</f>
        <v>Unionen</v>
      </c>
      <c r="D503" t="str">
        <f>"2025-04-30"</f>
        <v>2025-04-30</v>
      </c>
    </row>
    <row r="504" spans="1:4" x14ac:dyDescent="0.35">
      <c r="A504" t="str">
        <f>"Tjänstemän vid Systembolaget AB"</f>
        <v>Tjänstemän vid Systembolaget AB</v>
      </c>
      <c r="B504" t="str">
        <f t="shared" si="55"/>
        <v>Svensk Handel</v>
      </c>
      <c r="C504" t="str">
        <f>"Unionen"</f>
        <v>Unionen</v>
      </c>
      <c r="D504" t="str">
        <f>"2025-04-30"</f>
        <v>2025-04-30</v>
      </c>
    </row>
    <row r="505" spans="1:4" x14ac:dyDescent="0.35">
      <c r="A505" t="str">
        <f>"Handelns Tjänstemannaavtal"</f>
        <v>Handelns Tjänstemannaavtal</v>
      </c>
      <c r="B505" t="str">
        <f t="shared" si="55"/>
        <v>Svensk Handel</v>
      </c>
      <c r="C505" t="str">
        <f>"Unionen"</f>
        <v>Unionen</v>
      </c>
      <c r="D505" t="str">
        <f>"2025-04-30"</f>
        <v>2025-04-30</v>
      </c>
    </row>
    <row r="506" spans="1:4" x14ac:dyDescent="0.35">
      <c r="A506" t="str">
        <f>"Tjänstemän inom Detaljhandeln (DT)"</f>
        <v>Tjänstemän inom Detaljhandeln (DT)</v>
      </c>
      <c r="B506" t="str">
        <f t="shared" si="55"/>
        <v>Svensk Handel</v>
      </c>
      <c r="C506" t="str">
        <f>"Unionen"</f>
        <v>Unionen</v>
      </c>
      <c r="D506" t="str">
        <f>"2025-04-30"</f>
        <v>2025-04-30</v>
      </c>
    </row>
    <row r="507" spans="1:4" x14ac:dyDescent="0.35">
      <c r="A507" t="str">
        <f>"Riksavtal för anställda vid offentligt finansierade teaterinstitutioner"</f>
        <v>Riksavtal för anställda vid offentligt finansierade teaterinstitutioner</v>
      </c>
      <c r="B507" t="str">
        <f t="shared" ref="B507:B516" si="56">"Svensk Scenkonst"</f>
        <v>Svensk Scenkonst</v>
      </c>
      <c r="C507" t="str">
        <f>"Akademikerförbunden"</f>
        <v>Akademikerförbunden</v>
      </c>
      <c r="D507" t="str">
        <f>"2025-03-31"</f>
        <v>2025-03-31</v>
      </c>
    </row>
    <row r="508" spans="1:4" x14ac:dyDescent="0.35">
      <c r="A508" t="str">
        <f>"Riksavtal för tjänstemän vid A. Orkesterföretag mm samt B. Teater- och länsteaterföreningar mm"</f>
        <v>Riksavtal för tjänstemän vid A. Orkesterföretag mm samt B. Teater- och länsteaterföreningar mm</v>
      </c>
      <c r="B508" t="str">
        <f t="shared" si="56"/>
        <v>Svensk Scenkonst</v>
      </c>
      <c r="C508" t="str">
        <f>"Akademikerförbunden"</f>
        <v>Akademikerförbunden</v>
      </c>
      <c r="D508" t="str">
        <f>"2025-03-31"</f>
        <v>2025-03-31</v>
      </c>
    </row>
    <row r="509" spans="1:4" x14ac:dyDescent="0.35">
      <c r="A509" t="str">
        <f>"Ledaravtal"</f>
        <v>Ledaravtal</v>
      </c>
      <c r="B509" t="str">
        <f t="shared" si="56"/>
        <v>Svensk Scenkonst</v>
      </c>
      <c r="C509" t="str">
        <f>"Ledarna"</f>
        <v>Ledarna</v>
      </c>
      <c r="D509" t="str">
        <f>""</f>
        <v/>
      </c>
    </row>
    <row r="510" spans="1:4" x14ac:dyDescent="0.35">
      <c r="A510" t="str">
        <f>"Musiker, korister och repetitörer vid Orkesterföretag m fl."</f>
        <v>Musiker, korister och repetitörer vid Orkesterföretag m fl.</v>
      </c>
      <c r="B510" t="str">
        <f t="shared" si="56"/>
        <v>Svensk Scenkonst</v>
      </c>
      <c r="C510" t="str">
        <f>"Musikerförbundet"</f>
        <v>Musikerförbundet</v>
      </c>
      <c r="D510" t="str">
        <f t="shared" ref="D510:D517" si="57">"2025-03-31"</f>
        <v>2025-03-31</v>
      </c>
    </row>
    <row r="511" spans="1:4" x14ac:dyDescent="0.35">
      <c r="A511" t="str">
        <f>"Riksavtal för anställda vid offentligt finansierade teaterinstitutioner"</f>
        <v>Riksavtal för anställda vid offentligt finansierade teaterinstitutioner</v>
      </c>
      <c r="B511" t="str">
        <f t="shared" si="56"/>
        <v>Svensk Scenkonst</v>
      </c>
      <c r="C511" t="str">
        <f>"Scen&amp;Film"</f>
        <v>Scen&amp;Film</v>
      </c>
      <c r="D511" t="str">
        <f t="shared" si="57"/>
        <v>2025-03-31</v>
      </c>
    </row>
    <row r="512" spans="1:4" x14ac:dyDescent="0.35">
      <c r="A512" t="str">
        <f>"Fria professionella danskompanier och koreografer"</f>
        <v>Fria professionella danskompanier och koreografer</v>
      </c>
      <c r="B512" t="str">
        <f t="shared" si="56"/>
        <v>Svensk Scenkonst</v>
      </c>
      <c r="C512" t="str">
        <f>"Scen&amp;Film"</f>
        <v>Scen&amp;Film</v>
      </c>
      <c r="D512" t="str">
        <f t="shared" si="57"/>
        <v>2025-03-31</v>
      </c>
    </row>
    <row r="513" spans="1:4" x14ac:dyDescent="0.35">
      <c r="A513" t="str">
        <f>"Friateateravtalet"</f>
        <v>Friateateravtalet</v>
      </c>
      <c r="B513" t="str">
        <f t="shared" si="56"/>
        <v>Svensk Scenkonst</v>
      </c>
      <c r="C513" t="str">
        <f>"Scen&amp;Film"</f>
        <v>Scen&amp;Film</v>
      </c>
      <c r="D513" t="str">
        <f t="shared" si="57"/>
        <v>2025-03-31</v>
      </c>
    </row>
    <row r="514" spans="1:4" x14ac:dyDescent="0.35">
      <c r="A514" t="str">
        <f>"Privatteatrar"</f>
        <v>Privatteatrar</v>
      </c>
      <c r="B514" t="str">
        <f t="shared" si="56"/>
        <v>Svensk Scenkonst</v>
      </c>
      <c r="C514" t="str">
        <f>"Scen&amp;Film"</f>
        <v>Scen&amp;Film</v>
      </c>
      <c r="D514" t="str">
        <f t="shared" si="57"/>
        <v>2025-03-31</v>
      </c>
    </row>
    <row r="515" spans="1:4" x14ac:dyDescent="0.35">
      <c r="A515" t="str">
        <f>"Musiker, korister och repetitörer vid Orkesterföretag m fl."</f>
        <v>Musiker, korister och repetitörer vid Orkesterföretag m fl.</v>
      </c>
      <c r="B515" t="str">
        <f t="shared" si="56"/>
        <v>Svensk Scenkonst</v>
      </c>
      <c r="C515" t="str">
        <f>"SYMF"</f>
        <v>SYMF</v>
      </c>
      <c r="D515" t="str">
        <f t="shared" si="57"/>
        <v>2025-03-31</v>
      </c>
    </row>
    <row r="516" spans="1:4" x14ac:dyDescent="0.35">
      <c r="A516" t="str">
        <f>"Riksavtal för tjänstemän vid A. Orkesterföretag mm samt B. Teater- och länsteaterföreningar mm"</f>
        <v>Riksavtal för tjänstemän vid A. Orkesterföretag mm samt B. Teater- och länsteaterföreningar mm</v>
      </c>
      <c r="B516" t="str">
        <f t="shared" si="56"/>
        <v>Svensk Scenkonst</v>
      </c>
      <c r="C516" t="str">
        <f>"Unionen"</f>
        <v>Unionen</v>
      </c>
      <c r="D516" t="str">
        <f t="shared" si="57"/>
        <v>2025-03-31</v>
      </c>
    </row>
    <row r="517" spans="1:4" x14ac:dyDescent="0.35">
      <c r="A517" t="str">
        <f>"Cateringavtal"</f>
        <v>Cateringavtal</v>
      </c>
      <c r="B517" t="str">
        <f t="shared" ref="B517:B535" si="58">"Svenska Flygbranschen"</f>
        <v>Svenska Flygbranschen</v>
      </c>
      <c r="C517" t="str">
        <f>"Hotell- och Restaurangfacket"</f>
        <v>Hotell- och Restaurangfacket</v>
      </c>
      <c r="D517" t="str">
        <f t="shared" si="57"/>
        <v>2025-03-31</v>
      </c>
    </row>
    <row r="518" spans="1:4" x14ac:dyDescent="0.35">
      <c r="A518" t="str">
        <f>"Tjänstemannaavtal"</f>
        <v>Tjänstemannaavtal</v>
      </c>
      <c r="B518" t="str">
        <f t="shared" si="58"/>
        <v>Svenska Flygbranschen</v>
      </c>
      <c r="C518" t="str">
        <f>"Ledarna"</f>
        <v>Ledarna</v>
      </c>
      <c r="D518" t="str">
        <f>""</f>
        <v/>
      </c>
    </row>
    <row r="519" spans="1:4" x14ac:dyDescent="0.35">
      <c r="A519" t="str">
        <f>"Flygtekniker med typcertifikat"</f>
        <v>Flygtekniker med typcertifikat</v>
      </c>
      <c r="B519" t="str">
        <f t="shared" si="58"/>
        <v>Svenska Flygbranschen</v>
      </c>
      <c r="C519" t="str">
        <f>"SRAT"</f>
        <v>SRAT</v>
      </c>
      <c r="D519" t="str">
        <f>"2025-10-31"</f>
        <v>2025-10-31</v>
      </c>
    </row>
    <row r="520" spans="1:4" x14ac:dyDescent="0.35">
      <c r="A520" t="str">
        <f>"Helikopterflyg"</f>
        <v>Helikopterflyg</v>
      </c>
      <c r="B520" t="str">
        <f t="shared" si="58"/>
        <v>Svenska Flygbranschen</v>
      </c>
      <c r="C520" t="str">
        <f t="shared" ref="C520:C527" si="59">"Svensk Pilotförening"</f>
        <v>Svensk Pilotförening</v>
      </c>
      <c r="D520" t="str">
        <f>"2023-03-31"</f>
        <v>2023-03-31</v>
      </c>
    </row>
    <row r="521" spans="1:4" x14ac:dyDescent="0.35">
      <c r="A521" t="str">
        <f>"Babcock Scandinavian Air Ambulance AB"</f>
        <v>Babcock Scandinavian Air Ambulance AB</v>
      </c>
      <c r="B521" t="str">
        <f t="shared" si="58"/>
        <v>Svenska Flygbranschen</v>
      </c>
      <c r="C521" t="str">
        <f t="shared" si="59"/>
        <v>Svensk Pilotförening</v>
      </c>
      <c r="D521" t="str">
        <f>"2023-03-31"</f>
        <v>2023-03-31</v>
      </c>
    </row>
    <row r="522" spans="1:4" x14ac:dyDescent="0.35">
      <c r="A522" t="str">
        <f>"TUIfly Nordic AB"</f>
        <v>TUIfly Nordic AB</v>
      </c>
      <c r="B522" t="str">
        <f t="shared" si="58"/>
        <v>Svenska Flygbranschen</v>
      </c>
      <c r="C522" t="str">
        <f t="shared" si="59"/>
        <v>Svensk Pilotförening</v>
      </c>
      <c r="D522" t="str">
        <f>"2023-03-31"</f>
        <v>2023-03-31</v>
      </c>
    </row>
    <row r="523" spans="1:4" x14ac:dyDescent="0.35">
      <c r="A523" t="str">
        <f>"Amapola Flyg AB"</f>
        <v>Amapola Flyg AB</v>
      </c>
      <c r="B523" t="str">
        <f t="shared" si="58"/>
        <v>Svenska Flygbranschen</v>
      </c>
      <c r="C523" t="str">
        <f t="shared" si="59"/>
        <v>Svensk Pilotförening</v>
      </c>
      <c r="D523" t="str">
        <f>"2023-10-31"</f>
        <v>2023-10-31</v>
      </c>
    </row>
    <row r="524" spans="1:4" x14ac:dyDescent="0.35">
      <c r="A524" t="str">
        <f>"BRAATHENS People AB"</f>
        <v>BRAATHENS People AB</v>
      </c>
      <c r="B524" t="str">
        <f t="shared" si="58"/>
        <v>Svenska Flygbranschen</v>
      </c>
      <c r="C524" t="str">
        <f t="shared" si="59"/>
        <v>Svensk Pilotförening</v>
      </c>
      <c r="D524" t="str">
        <f>"2025-03-31"</f>
        <v>2025-03-31</v>
      </c>
    </row>
    <row r="525" spans="1:4" x14ac:dyDescent="0.35">
      <c r="A525" t="str">
        <f>"Nova Airlines"</f>
        <v>Nova Airlines</v>
      </c>
      <c r="B525" t="str">
        <f t="shared" si="58"/>
        <v>Svenska Flygbranschen</v>
      </c>
      <c r="C525" t="str">
        <f t="shared" si="59"/>
        <v>Svensk Pilotförening</v>
      </c>
      <c r="D525" t="str">
        <f>"2025-03-31"</f>
        <v>2025-03-31</v>
      </c>
    </row>
    <row r="526" spans="1:4" x14ac:dyDescent="0.35">
      <c r="A526" t="str">
        <f>"Flygskolor"</f>
        <v>Flygskolor</v>
      </c>
      <c r="B526" t="str">
        <f t="shared" si="58"/>
        <v>Svenska Flygbranschen</v>
      </c>
      <c r="C526" t="str">
        <f t="shared" si="59"/>
        <v>Svensk Pilotförening</v>
      </c>
      <c r="D526" t="str">
        <f>"2025-03-31"</f>
        <v>2025-03-31</v>
      </c>
    </row>
    <row r="527" spans="1:4" x14ac:dyDescent="0.35">
      <c r="A527" t="str">
        <f>"SAS Piloter"</f>
        <v>SAS Piloter</v>
      </c>
      <c r="B527" t="str">
        <f t="shared" si="58"/>
        <v>Svenska Flygbranschen</v>
      </c>
      <c r="C527" t="str">
        <f t="shared" si="59"/>
        <v>Svensk Pilotförening</v>
      </c>
      <c r="D527" t="str">
        <f>"2027-09-30"</f>
        <v>2027-09-30</v>
      </c>
    </row>
    <row r="528" spans="1:4" x14ac:dyDescent="0.35">
      <c r="A528" t="str">
        <f>"Riksavtal Civilflyget"</f>
        <v>Riksavtal Civilflyget</v>
      </c>
      <c r="B528" t="str">
        <f t="shared" si="58"/>
        <v>Svenska Flygbranschen</v>
      </c>
      <c r="C528" t="str">
        <f>"Svenska Transportarbetareförbundet"</f>
        <v>Svenska Transportarbetareförbundet</v>
      </c>
      <c r="D528" t="str">
        <f>"2025-09-30"</f>
        <v>2025-09-30</v>
      </c>
    </row>
    <row r="529" spans="1:4" x14ac:dyDescent="0.35">
      <c r="A529" t="str">
        <f>"Riksavtal Fraktflyget"</f>
        <v>Riksavtal Fraktflyget</v>
      </c>
      <c r="B529" t="str">
        <f t="shared" si="58"/>
        <v>Svenska Flygbranschen</v>
      </c>
      <c r="C529" t="str">
        <f>"Svenska Transportarbetareförbundet"</f>
        <v>Svenska Transportarbetareförbundet</v>
      </c>
      <c r="D529" t="str">
        <f>"2025-09-30"</f>
        <v>2025-09-30</v>
      </c>
    </row>
    <row r="530" spans="1:4" x14ac:dyDescent="0.35">
      <c r="A530" t="str">
        <f>"Flygteknisk underhållspersonal"</f>
        <v>Flygteknisk underhållspersonal</v>
      </c>
      <c r="B530" t="str">
        <f t="shared" si="58"/>
        <v>Svenska Flygbranschen</v>
      </c>
      <c r="C530" t="str">
        <f>"Svenska Transportarbetareförbundet"</f>
        <v>Svenska Transportarbetareförbundet</v>
      </c>
      <c r="D530" t="str">
        <f>"2025-09-30"</f>
        <v>2025-09-30</v>
      </c>
    </row>
    <row r="531" spans="1:4" x14ac:dyDescent="0.35">
      <c r="A531" t="str">
        <f>"Flygtekniker med typcertifikat"</f>
        <v>Flygtekniker med typcertifikat</v>
      </c>
      <c r="B531" t="str">
        <f t="shared" si="58"/>
        <v>Svenska Flygbranschen</v>
      </c>
      <c r="C531" t="str">
        <f>"Svenska Transportarbetareförbundet"</f>
        <v>Svenska Transportarbetareförbundet</v>
      </c>
      <c r="D531" t="str">
        <f>"2025-10-31"</f>
        <v>2025-10-31</v>
      </c>
    </row>
    <row r="532" spans="1:4" x14ac:dyDescent="0.35">
      <c r="A532" t="str">
        <f>"Tjänstemannaavtalet för Transportföretagen"</f>
        <v>Tjänstemannaavtalet för Transportföretagen</v>
      </c>
      <c r="B532" t="str">
        <f t="shared" si="58"/>
        <v>Svenska Flygbranschen</v>
      </c>
      <c r="C532" t="str">
        <f>"Sveriges Ingenjörer"</f>
        <v>Sveriges Ingenjörer</v>
      </c>
      <c r="D532" t="str">
        <f>"2025-04-30"</f>
        <v>2025-04-30</v>
      </c>
    </row>
    <row r="533" spans="1:4" x14ac:dyDescent="0.35">
      <c r="A533" t="str">
        <f>"Kabinpersonal"</f>
        <v>Kabinpersonal</v>
      </c>
      <c r="B533" t="str">
        <f t="shared" si="58"/>
        <v>Svenska Flygbranschen</v>
      </c>
      <c r="C533" t="str">
        <f>"Unionen"</f>
        <v>Unionen</v>
      </c>
      <c r="D533" t="str">
        <f>"2025-04-30"</f>
        <v>2025-04-30</v>
      </c>
    </row>
    <row r="534" spans="1:4" x14ac:dyDescent="0.35">
      <c r="A534" t="str">
        <f>"Tjänstemannaavtalet för Transportföretagen"</f>
        <v>Tjänstemannaavtalet för Transportföretagen</v>
      </c>
      <c r="B534" t="str">
        <f t="shared" si="58"/>
        <v>Svenska Flygbranschen</v>
      </c>
      <c r="C534" t="str">
        <f>"Unionen"</f>
        <v>Unionen</v>
      </c>
      <c r="D534" t="str">
        <f>"2025-04-30"</f>
        <v>2025-04-30</v>
      </c>
    </row>
    <row r="535" spans="1:4" x14ac:dyDescent="0.35">
      <c r="A535" t="str">
        <f>"Leg sjuksköterskor"</f>
        <v>Leg sjuksköterskor</v>
      </c>
      <c r="B535" t="str">
        <f t="shared" si="58"/>
        <v>Svenska Flygbranschen</v>
      </c>
      <c r="C535" t="str">
        <f>"Vårdförbundet"</f>
        <v>Vårdförbundet</v>
      </c>
      <c r="D535" t="str">
        <f>""</f>
        <v/>
      </c>
    </row>
    <row r="536" spans="1:4" x14ac:dyDescent="0.35">
      <c r="A536" t="str">
        <f>"Svenska Kyrkan"</f>
        <v>Svenska Kyrkan</v>
      </c>
      <c r="B536" t="str">
        <f>"Svenska Kyrkan"</f>
        <v>Svenska Kyrkan</v>
      </c>
      <c r="C536" t="str">
        <f>"Akademikerförbundet SSR"</f>
        <v>Akademikerförbundet SSR</v>
      </c>
      <c r="D536" t="str">
        <f t="shared" ref="D536:D542" si="60">"2025-04-30"</f>
        <v>2025-04-30</v>
      </c>
    </row>
    <row r="537" spans="1:4" x14ac:dyDescent="0.35">
      <c r="A537" t="str">
        <f>"Svenska Kyrkan"</f>
        <v>Svenska Kyrkan</v>
      </c>
      <c r="B537" t="str">
        <f>"Svenska Kyrkan"</f>
        <v>Svenska Kyrkan</v>
      </c>
      <c r="C537" t="str">
        <f>"Akavia"</f>
        <v>Akavia</v>
      </c>
      <c r="D537" t="str">
        <f t="shared" si="60"/>
        <v>2025-04-30</v>
      </c>
    </row>
    <row r="538" spans="1:4" x14ac:dyDescent="0.35">
      <c r="A538" t="str">
        <f>"Skogsavtal"</f>
        <v>Skogsavtal</v>
      </c>
      <c r="B538" t="str">
        <f>"Svenska Kyrkan"</f>
        <v>Svenska Kyrkan</v>
      </c>
      <c r="C538" t="str">
        <f>"GS Facket för skogs-, trä- och grafisk bransch"</f>
        <v>GS Facket för skogs-, trä- och grafisk bransch</v>
      </c>
      <c r="D538" t="str">
        <f t="shared" si="60"/>
        <v>2025-04-30</v>
      </c>
    </row>
    <row r="539" spans="1:4" x14ac:dyDescent="0.35">
      <c r="A539" t="str">
        <f>"Svenska Kyrkan"</f>
        <v>Svenska Kyrkan</v>
      </c>
      <c r="B539" t="str">
        <f>"Svenska Kyrkan"</f>
        <v>Svenska Kyrkan</v>
      </c>
      <c r="C539" t="str">
        <f>"Kyrkans Akademikerförbund"</f>
        <v>Kyrkans Akademikerförbund</v>
      </c>
      <c r="D539" t="str">
        <f t="shared" si="60"/>
        <v>2025-04-30</v>
      </c>
    </row>
    <row r="540" spans="1:4" x14ac:dyDescent="0.35">
      <c r="A540" t="str">
        <f>"Svenska Kyrkan"</f>
        <v>Svenska Kyrkan</v>
      </c>
      <c r="B540" t="str">
        <f>"Svenska Kyrkan"</f>
        <v>Svenska Kyrkan</v>
      </c>
      <c r="C540" t="str">
        <f>"Svenska Kommunalarbetareförbundet"</f>
        <v>Svenska Kommunalarbetareförbundet</v>
      </c>
      <c r="D540" t="str">
        <f t="shared" si="60"/>
        <v>2025-04-30</v>
      </c>
    </row>
    <row r="541" spans="1:4" x14ac:dyDescent="0.35">
      <c r="A541" t="str">
        <f>"Svenska Kyrkan"</f>
        <v>Svenska Kyrkan</v>
      </c>
      <c r="B541" t="str">
        <f>"Svenska Kyrkan"</f>
        <v>Svenska Kyrkan</v>
      </c>
      <c r="C541" t="str">
        <f>"Sveriges Lärare"</f>
        <v>Sveriges Lärare</v>
      </c>
      <c r="D541" t="str">
        <f t="shared" si="60"/>
        <v>2025-04-30</v>
      </c>
    </row>
    <row r="542" spans="1:4" x14ac:dyDescent="0.35">
      <c r="A542" t="str">
        <f>"Svenska Kyrkan"</f>
        <v>Svenska Kyrkan</v>
      </c>
      <c r="B542" t="str">
        <f>"Svenska Kyrkan"</f>
        <v>Svenska Kyrkan</v>
      </c>
      <c r="C542" t="str">
        <f>"Vision"</f>
        <v>Vision</v>
      </c>
      <c r="D542" t="str">
        <f t="shared" si="60"/>
        <v>2025-04-30</v>
      </c>
    </row>
    <row r="543" spans="1:4" x14ac:dyDescent="0.35">
      <c r="A543" t="str">
        <f>"Bussbranschavtal"</f>
        <v>Bussbranschavtal</v>
      </c>
      <c r="B543" t="str">
        <f>"Sveriges Bussföretag"</f>
        <v>Sveriges Bussföretag</v>
      </c>
      <c r="C543" t="str">
        <f>"Svenska Kommunalarbetareförbundet"</f>
        <v>Svenska Kommunalarbetareförbundet</v>
      </c>
      <c r="D543" t="str">
        <f>"2025-09-30"</f>
        <v>2025-09-30</v>
      </c>
    </row>
    <row r="544" spans="1:4" x14ac:dyDescent="0.35">
      <c r="A544" t="str">
        <f>"Bussbranschavtal för beställningstrafik"</f>
        <v>Bussbranschavtal för beställningstrafik</v>
      </c>
      <c r="B544" t="str">
        <f>"Sveriges Bussföretag"</f>
        <v>Sveriges Bussföretag</v>
      </c>
      <c r="C544" t="str">
        <f>"Svenska Transportarbetareförbundet"</f>
        <v>Svenska Transportarbetareförbundet</v>
      </c>
      <c r="D544" t="str">
        <f>"2025-09-30"</f>
        <v>2025-09-30</v>
      </c>
    </row>
    <row r="545" spans="1:4" x14ac:dyDescent="0.35">
      <c r="A545" t="str">
        <f>"Tjänstemannaavtalet för Transportföretagen"</f>
        <v>Tjänstemannaavtalet för Transportföretagen</v>
      </c>
      <c r="B545" t="str">
        <f>"Sveriges Bussföretag"</f>
        <v>Sveriges Bussföretag</v>
      </c>
      <c r="C545" t="str">
        <f>"Sveriges Ingenjörer"</f>
        <v>Sveriges Ingenjörer</v>
      </c>
      <c r="D545" t="str">
        <f>"2025-04-30"</f>
        <v>2025-04-30</v>
      </c>
    </row>
    <row r="546" spans="1:4" x14ac:dyDescent="0.35">
      <c r="A546" t="str">
        <f>"Tjänstemannaavtalet för Transportföretagen"</f>
        <v>Tjänstemannaavtalet för Transportföretagen</v>
      </c>
      <c r="B546" t="str">
        <f>"Sveriges Bussföretag"</f>
        <v>Sveriges Bussföretag</v>
      </c>
      <c r="C546" t="str">
        <f>"Unionen"</f>
        <v>Unionen</v>
      </c>
      <c r="D546" t="str">
        <f>"2025-04-30"</f>
        <v>2025-04-30</v>
      </c>
    </row>
    <row r="547" spans="1:4" x14ac:dyDescent="0.35">
      <c r="A547" t="str">
        <f>"Frisöravtal"</f>
        <v>Frisöravtal</v>
      </c>
      <c r="B547" t="str">
        <f>"Sveriges Frisörföretagare"</f>
        <v>Sveriges Frisörföretagare</v>
      </c>
      <c r="C547" t="str">
        <f>"Handelsanställdas förbund"</f>
        <v>Handelsanställdas förbund</v>
      </c>
      <c r="D547" t="str">
        <f>"2025-03-31"</f>
        <v>2025-03-31</v>
      </c>
    </row>
    <row r="548" spans="1:4" x14ac:dyDescent="0.35">
      <c r="A548" t="str">
        <f>"Tjänstemannaavtal"</f>
        <v>Tjänstemannaavtal</v>
      </c>
      <c r="B548" t="str">
        <f>"Sveriges Hamnar"</f>
        <v>Sveriges Hamnar</v>
      </c>
      <c r="C548" t="str">
        <f>"Ledarna"</f>
        <v>Ledarna</v>
      </c>
      <c r="D548" t="str">
        <f>""</f>
        <v/>
      </c>
    </row>
    <row r="549" spans="1:4" x14ac:dyDescent="0.35">
      <c r="A549" t="str">
        <f>"Kajavtalet"</f>
        <v>Kajavtalet</v>
      </c>
      <c r="B549" t="str">
        <f>"Sveriges Hamnar"</f>
        <v>Sveriges Hamnar</v>
      </c>
      <c r="C549" t="str">
        <f>"Svenska Hamnarbetarförbundet"</f>
        <v>Svenska Hamnarbetarförbundet</v>
      </c>
      <c r="D549" t="str">
        <f>"2025-04-30"</f>
        <v>2025-04-30</v>
      </c>
    </row>
    <row r="550" spans="1:4" x14ac:dyDescent="0.35">
      <c r="A550" t="str">
        <f>"Hamn- och stuveriavtalet"</f>
        <v>Hamn- och stuveriavtalet</v>
      </c>
      <c r="B550" t="str">
        <f>"Sveriges Hamnar"</f>
        <v>Sveriges Hamnar</v>
      </c>
      <c r="C550" t="str">
        <f>"Svenska Transportarbetareförbundet"</f>
        <v>Svenska Transportarbetareförbundet</v>
      </c>
      <c r="D550" t="str">
        <f>"2025-04-30"</f>
        <v>2025-04-30</v>
      </c>
    </row>
    <row r="551" spans="1:4" x14ac:dyDescent="0.35">
      <c r="A551" t="str">
        <f>"Tjänstemannaavtalet för Transportföretagen"</f>
        <v>Tjänstemannaavtalet för Transportföretagen</v>
      </c>
      <c r="B551" t="str">
        <f>"Sveriges Hamnar"</f>
        <v>Sveriges Hamnar</v>
      </c>
      <c r="C551" t="str">
        <f>"Sveriges Ingenjörer"</f>
        <v>Sveriges Ingenjörer</v>
      </c>
      <c r="D551" t="str">
        <f>"2025-04-30"</f>
        <v>2025-04-30</v>
      </c>
    </row>
    <row r="552" spans="1:4" x14ac:dyDescent="0.35">
      <c r="A552" t="str">
        <f>"Tjänstemannaavtalet för Transportföretagen"</f>
        <v>Tjänstemannaavtalet för Transportföretagen</v>
      </c>
      <c r="B552" t="str">
        <f>"Sveriges Hamnar"</f>
        <v>Sveriges Hamnar</v>
      </c>
      <c r="C552" t="str">
        <f>"Unionen"</f>
        <v>Unionen</v>
      </c>
      <c r="D552" t="str">
        <f>"2025-04-30"</f>
        <v>2025-04-30</v>
      </c>
    </row>
    <row r="553" spans="1:4" x14ac:dyDescent="0.35">
      <c r="A553" t="str">
        <f>"Tjänstemannaavtal"</f>
        <v>Tjänstemannaavtal</v>
      </c>
      <c r="B553" t="str">
        <f>"Sveriges Skorstensfejaremästares Riksförbund"</f>
        <v>Sveriges Skorstensfejaremästares Riksförbund</v>
      </c>
      <c r="C553" t="str">
        <f>"Ledarna"</f>
        <v>Ledarna</v>
      </c>
      <c r="D553" t="str">
        <f>""</f>
        <v/>
      </c>
    </row>
    <row r="554" spans="1:4" x14ac:dyDescent="0.35">
      <c r="A554" t="str">
        <f>"Riksavtal - Sotare"</f>
        <v>Riksavtal - Sotare</v>
      </c>
      <c r="B554" t="str">
        <f>"Sveriges Skorstensfejaremästares Riksförbund"</f>
        <v>Sveriges Skorstensfejaremästares Riksförbund</v>
      </c>
      <c r="C554" t="str">
        <f>"Svenska Kommunalarbetareförbundet"</f>
        <v>Svenska Kommunalarbetareförbundet</v>
      </c>
      <c r="D554" t="str">
        <f>"2024-03-31"</f>
        <v>2024-03-31</v>
      </c>
    </row>
    <row r="555" spans="1:4" x14ac:dyDescent="0.35">
      <c r="A555" t="str">
        <f>"Säkerhetsföretagens Tjänstemannaavtal"</f>
        <v>Säkerhetsföretagens Tjänstemannaavtal</v>
      </c>
      <c r="B555" t="str">
        <f>"Säkerhetsföretagen (Almega)"</f>
        <v>Säkerhetsföretagen (Almega)</v>
      </c>
      <c r="C555" t="str">
        <f>"Ledarna"</f>
        <v>Ledarna</v>
      </c>
      <c r="D555" t="str">
        <f>"2025-04-30"</f>
        <v>2025-04-30</v>
      </c>
    </row>
    <row r="556" spans="1:4" x14ac:dyDescent="0.35">
      <c r="A556" t="str">
        <f>"Bevaknings- och säkerhetsavtalet"</f>
        <v>Bevaknings- och säkerhetsavtalet</v>
      </c>
      <c r="B556" t="str">
        <f>"Säkerhetsföretagen (Almega)"</f>
        <v>Säkerhetsföretagen (Almega)</v>
      </c>
      <c r="C556" t="str">
        <f>"Svenska Transportarbetareförbundet"</f>
        <v>Svenska Transportarbetareförbundet</v>
      </c>
      <c r="D556" t="str">
        <f>"2025-05-31"</f>
        <v>2025-05-31</v>
      </c>
    </row>
    <row r="557" spans="1:4" x14ac:dyDescent="0.35">
      <c r="A557" t="str">
        <f>"Säkerhetsföretagens Tjänstemannaavtal"</f>
        <v>Säkerhetsföretagens Tjänstemannaavtal</v>
      </c>
      <c r="B557" t="str">
        <f>"Säkerhetsföretagen (Almega)"</f>
        <v>Säkerhetsföretagen (Almega)</v>
      </c>
      <c r="C557" t="str">
        <f>"Unionen"</f>
        <v>Unionen</v>
      </c>
      <c r="D557" t="str">
        <f>"2025-04-30"</f>
        <v>2025-04-30</v>
      </c>
    </row>
    <row r="558" spans="1:4" x14ac:dyDescent="0.35">
      <c r="A558" t="str">
        <f>"IT-branschen"</f>
        <v>IT-branschen</v>
      </c>
      <c r="B558" t="str">
        <f t="shared" ref="B558:B565" si="61">"TechSverige"</f>
        <v>TechSverige</v>
      </c>
      <c r="C558" t="str">
        <f>"Akavia"</f>
        <v>Akavia</v>
      </c>
      <c r="D558" t="str">
        <f>"2025-03-31"</f>
        <v>2025-03-31</v>
      </c>
    </row>
    <row r="559" spans="1:4" x14ac:dyDescent="0.35">
      <c r="A559" t="str">
        <f>"Telekom"</f>
        <v>Telekom</v>
      </c>
      <c r="B559" t="str">
        <f t="shared" si="61"/>
        <v>TechSverige</v>
      </c>
      <c r="C559" t="str">
        <f>"Akavia"</f>
        <v>Akavia</v>
      </c>
      <c r="D559" t="str">
        <f>"2025-03-31"</f>
        <v>2025-03-31</v>
      </c>
    </row>
    <row r="560" spans="1:4" x14ac:dyDescent="0.35">
      <c r="A560" t="str">
        <f>"Telekom"</f>
        <v>Telekom</v>
      </c>
      <c r="B560" t="str">
        <f t="shared" si="61"/>
        <v>TechSverige</v>
      </c>
      <c r="C560" t="str">
        <f>"Ledarna"</f>
        <v>Ledarna</v>
      </c>
      <c r="D560" t="str">
        <f>""</f>
        <v/>
      </c>
    </row>
    <row r="561" spans="1:4" x14ac:dyDescent="0.35">
      <c r="A561" t="str">
        <f>"Telekom"</f>
        <v>Telekom</v>
      </c>
      <c r="B561" t="str">
        <f t="shared" si="61"/>
        <v>TechSverige</v>
      </c>
      <c r="C561" t="str">
        <f>"Seko, Service- och kommunikationsfacket"</f>
        <v>Seko, Service- och kommunikationsfacket</v>
      </c>
      <c r="D561" t="str">
        <f t="shared" ref="D561:D566" si="62">"2025-03-31"</f>
        <v>2025-03-31</v>
      </c>
    </row>
    <row r="562" spans="1:4" x14ac:dyDescent="0.35">
      <c r="A562" t="str">
        <f>"IT-branschen"</f>
        <v>IT-branschen</v>
      </c>
      <c r="B562" t="str">
        <f t="shared" si="61"/>
        <v>TechSverige</v>
      </c>
      <c r="C562" t="str">
        <f>"Sveriges Ingenjörer"</f>
        <v>Sveriges Ingenjörer</v>
      </c>
      <c r="D562" t="str">
        <f t="shared" si="62"/>
        <v>2025-03-31</v>
      </c>
    </row>
    <row r="563" spans="1:4" x14ac:dyDescent="0.35">
      <c r="A563" t="str">
        <f>"Telekom"</f>
        <v>Telekom</v>
      </c>
      <c r="B563" t="str">
        <f t="shared" si="61"/>
        <v>TechSverige</v>
      </c>
      <c r="C563" t="str">
        <f>"Sveriges Ingenjörer"</f>
        <v>Sveriges Ingenjörer</v>
      </c>
      <c r="D563" t="str">
        <f t="shared" si="62"/>
        <v>2025-03-31</v>
      </c>
    </row>
    <row r="564" spans="1:4" x14ac:dyDescent="0.35">
      <c r="A564" t="str">
        <f>"IT-branschen"</f>
        <v>IT-branschen</v>
      </c>
      <c r="B564" t="str">
        <f t="shared" si="61"/>
        <v>TechSverige</v>
      </c>
      <c r="C564" t="str">
        <f>"Unionen"</f>
        <v>Unionen</v>
      </c>
      <c r="D564" t="str">
        <f t="shared" si="62"/>
        <v>2025-03-31</v>
      </c>
    </row>
    <row r="565" spans="1:4" x14ac:dyDescent="0.35">
      <c r="A565" t="str">
        <f>"Telekom"</f>
        <v>Telekom</v>
      </c>
      <c r="B565" t="str">
        <f t="shared" si="61"/>
        <v>TechSverige</v>
      </c>
      <c r="C565" t="str">
        <f>"Unionen"</f>
        <v>Unionen</v>
      </c>
      <c r="D565" t="str">
        <f t="shared" si="62"/>
        <v>2025-03-31</v>
      </c>
    </row>
    <row r="566" spans="1:4" x14ac:dyDescent="0.35">
      <c r="A566" t="str">
        <f>"Teknikavtal"</f>
        <v>Teknikavtal</v>
      </c>
      <c r="B566" t="str">
        <f>"Teknikarbetsgivarna"</f>
        <v>Teknikarbetsgivarna</v>
      </c>
      <c r="C566" t="str">
        <f>"IF Metall"</f>
        <v>IF Metall</v>
      </c>
      <c r="D566" t="str">
        <f t="shared" si="62"/>
        <v>2025-03-31</v>
      </c>
    </row>
    <row r="567" spans="1:4" x14ac:dyDescent="0.35">
      <c r="A567" t="str">
        <f>"Teknikavtal Tjänstemän"</f>
        <v>Teknikavtal Tjänstemän</v>
      </c>
      <c r="B567" t="str">
        <f>"Teknikarbetsgivarna"</f>
        <v>Teknikarbetsgivarna</v>
      </c>
      <c r="C567" t="str">
        <f>"Ledarna"</f>
        <v>Ledarna</v>
      </c>
      <c r="D567" t="str">
        <f>""</f>
        <v/>
      </c>
    </row>
    <row r="568" spans="1:4" x14ac:dyDescent="0.35">
      <c r="A568" t="str">
        <f>"TKE-avtalet"</f>
        <v>TKE-avtalet</v>
      </c>
      <c r="B568" t="str">
        <f>"Teknikarbetsgivarna"</f>
        <v>Teknikarbetsgivarna</v>
      </c>
      <c r="C568" t="str">
        <f>"Svenska Elektrikerförbundet"</f>
        <v>Svenska Elektrikerförbundet</v>
      </c>
      <c r="D568" t="str">
        <f>"2025-04-30"</f>
        <v>2025-04-30</v>
      </c>
    </row>
    <row r="569" spans="1:4" x14ac:dyDescent="0.35">
      <c r="A569" t="str">
        <f>"Teknikavtal Tjänstemän"</f>
        <v>Teknikavtal Tjänstemän</v>
      </c>
      <c r="B569" t="str">
        <f>"Teknikarbetsgivarna"</f>
        <v>Teknikarbetsgivarna</v>
      </c>
      <c r="C569" t="str">
        <f>"Sveriges Ingenjörer"</f>
        <v>Sveriges Ingenjörer</v>
      </c>
      <c r="D569" t="str">
        <f>"2025-03-31"</f>
        <v>2025-03-31</v>
      </c>
    </row>
    <row r="570" spans="1:4" x14ac:dyDescent="0.35">
      <c r="A570" t="str">
        <f>"Teknikavtal Tjänstemän"</f>
        <v>Teknikavtal Tjänstemän</v>
      </c>
      <c r="B570" t="str">
        <f>"Teknikarbetsgivarna"</f>
        <v>Teknikarbetsgivarna</v>
      </c>
      <c r="C570" t="str">
        <f>"Unionen"</f>
        <v>Unionen</v>
      </c>
      <c r="D570" t="str">
        <f>"2025-03-31"</f>
        <v>2025-03-31</v>
      </c>
    </row>
    <row r="571" spans="1:4" x14ac:dyDescent="0.35">
      <c r="A571" t="str">
        <f>"Tekniktjänsteavtalet"</f>
        <v>Tekniktjänsteavtalet</v>
      </c>
      <c r="B571" t="str">
        <f>"Tekniktjänstearbetsgivarna"</f>
        <v>Tekniktjänstearbetsgivarna</v>
      </c>
      <c r="C571" t="str">
        <f>"Sveriges Ingenjörer"</f>
        <v>Sveriges Ingenjörer</v>
      </c>
      <c r="D571" t="str">
        <f>"2025-03-31"</f>
        <v>2025-03-31</v>
      </c>
    </row>
    <row r="572" spans="1:4" x14ac:dyDescent="0.35">
      <c r="A572" t="str">
        <f>"Tekniktjänsteavtalet"</f>
        <v>Tekniktjänsteavtalet</v>
      </c>
      <c r="B572" t="str">
        <f>"Tekniktjänstearbetsgivarna"</f>
        <v>Tekniktjänstearbetsgivarna</v>
      </c>
      <c r="C572" t="str">
        <f>"Unionen"</f>
        <v>Unionen</v>
      </c>
      <c r="D572" t="str">
        <f>"2025-03-31"</f>
        <v>2025-03-31</v>
      </c>
    </row>
    <row r="573" spans="1:4" x14ac:dyDescent="0.35">
      <c r="A573" t="str">
        <f>"Teko-avtal"</f>
        <v>Teko-avtal</v>
      </c>
      <c r="B573" t="str">
        <f>"TEKO, Sveriges Textil- och Modeföretag"</f>
        <v>TEKO, Sveriges Textil- och Modeföretag</v>
      </c>
      <c r="C573" t="str">
        <f>"IF Metall"</f>
        <v>IF Metall</v>
      </c>
      <c r="D573" t="str">
        <f>"2025-03-31"</f>
        <v>2025-03-31</v>
      </c>
    </row>
    <row r="574" spans="1:4" x14ac:dyDescent="0.35">
      <c r="A574" t="str">
        <f>"Tjänstemannaavtal"</f>
        <v>Tjänstemannaavtal</v>
      </c>
      <c r="B574" t="str">
        <f>"TEKO, Sveriges Textil- och Modeföretag"</f>
        <v>TEKO, Sveriges Textil- och Modeföretag</v>
      </c>
      <c r="C574" t="str">
        <f>"Ledarna"</f>
        <v>Ledarna</v>
      </c>
      <c r="D574" t="str">
        <f>""</f>
        <v/>
      </c>
    </row>
    <row r="575" spans="1:4" x14ac:dyDescent="0.35">
      <c r="A575" t="str">
        <f>"Tjänstemannaavtal"</f>
        <v>Tjänstemannaavtal</v>
      </c>
      <c r="B575" t="str">
        <f>"TEKO, Sveriges Textil- och Modeföretag"</f>
        <v>TEKO, Sveriges Textil- och Modeföretag</v>
      </c>
      <c r="C575" t="str">
        <f>"Sveriges Ingenjörer"</f>
        <v>Sveriges Ingenjörer</v>
      </c>
      <c r="D575" t="str">
        <f>"2025-03-31"</f>
        <v>2025-03-31</v>
      </c>
    </row>
    <row r="576" spans="1:4" x14ac:dyDescent="0.35">
      <c r="A576" t="str">
        <f>"Tjänstemannaavtal"</f>
        <v>Tjänstemannaavtal</v>
      </c>
      <c r="B576" t="str">
        <f>"TEKO, Sveriges Textil- och Modeföretag"</f>
        <v>TEKO, Sveriges Textil- och Modeföretag</v>
      </c>
      <c r="C576" t="str">
        <f>"Unionen"</f>
        <v>Unionen</v>
      </c>
      <c r="D576" t="str">
        <f>"2025-03-31"</f>
        <v>2025-03-31</v>
      </c>
    </row>
    <row r="577" spans="1:4" x14ac:dyDescent="0.35">
      <c r="A577" t="str">
        <f>"Lageravtalet"</f>
        <v>Lageravtalet</v>
      </c>
      <c r="B577" t="str">
        <f>"TGA - TeknikGrossisternas Arbetsgivareförening"</f>
        <v>TGA - TeknikGrossisternas Arbetsgivareförening</v>
      </c>
      <c r="C577" t="str">
        <f>"Handelsanställdas förbund"</f>
        <v>Handelsanställdas förbund</v>
      </c>
      <c r="D577" t="str">
        <f>"2025-03-31"</f>
        <v>2025-03-31</v>
      </c>
    </row>
    <row r="578" spans="1:4" x14ac:dyDescent="0.35">
      <c r="A578" t="str">
        <f>"Tjästemannaavtal"</f>
        <v>Tjästemannaavtal</v>
      </c>
      <c r="B578" t="str">
        <f>"TGA - TeknikGrossisternas Arbetsgivareförening"</f>
        <v>TGA - TeknikGrossisternas Arbetsgivareförening</v>
      </c>
      <c r="C578" t="str">
        <f>"Ledarna"</f>
        <v>Ledarna</v>
      </c>
      <c r="D578" t="str">
        <f>""</f>
        <v/>
      </c>
    </row>
    <row r="579" spans="1:4" x14ac:dyDescent="0.35">
      <c r="A579" t="str">
        <f>"ElektroSkandia"</f>
        <v>ElektroSkandia</v>
      </c>
      <c r="B579" t="str">
        <f>"TGA - TeknikGrossisternas Arbetsgivareförening"</f>
        <v>TGA - TeknikGrossisternas Arbetsgivareförening</v>
      </c>
      <c r="C579" t="str">
        <f>"Svenska Elektrikerförbundet"</f>
        <v>Svenska Elektrikerförbundet</v>
      </c>
      <c r="D579" t="str">
        <f>"2025-09-30"</f>
        <v>2025-09-30</v>
      </c>
    </row>
    <row r="580" spans="1:4" x14ac:dyDescent="0.35">
      <c r="A580" t="str">
        <f>"Tjästemannaavtal"</f>
        <v>Tjästemannaavtal</v>
      </c>
      <c r="B580" t="str">
        <f>"TGA - TeknikGrossisternas Arbetsgivareförening"</f>
        <v>TGA - TeknikGrossisternas Arbetsgivareförening</v>
      </c>
      <c r="C580" t="str">
        <f>"Sveriges Ingenjörer"</f>
        <v>Sveriges Ingenjörer</v>
      </c>
      <c r="D580" t="str">
        <f>""</f>
        <v/>
      </c>
    </row>
    <row r="581" spans="1:4" x14ac:dyDescent="0.35">
      <c r="A581" t="str">
        <f>"Tjästemannaavtal"</f>
        <v>Tjästemannaavtal</v>
      </c>
      <c r="B581" t="str">
        <f>"TGA - TeknikGrossisternas Arbetsgivareförening"</f>
        <v>TGA - TeknikGrossisternas Arbetsgivareförening</v>
      </c>
      <c r="C581" t="str">
        <f>"Unionen"</f>
        <v>Unionen</v>
      </c>
      <c r="D581" t="str">
        <f>""</f>
        <v/>
      </c>
    </row>
    <row r="582" spans="1:4" x14ac:dyDescent="0.35">
      <c r="A582" t="str">
        <f>"Stoppmöbelindustri"</f>
        <v>Stoppmöbelindustri</v>
      </c>
      <c r="B582" t="str">
        <f t="shared" ref="B582:B589" si="63">"Trä- och Möbelföretagen"</f>
        <v>Trä- och Möbelföretagen</v>
      </c>
      <c r="C582" t="str">
        <f>"GS Facket för skogs-, trä- och grafisk bransch"</f>
        <v>GS Facket för skogs-, trä- och grafisk bransch</v>
      </c>
      <c r="D582" t="str">
        <f>"2025-03-31"</f>
        <v>2025-03-31</v>
      </c>
    </row>
    <row r="583" spans="1:4" x14ac:dyDescent="0.35">
      <c r="A583" t="str">
        <f>"Träindustri"</f>
        <v>Träindustri</v>
      </c>
      <c r="B583" t="str">
        <f t="shared" si="63"/>
        <v>Trä- och Möbelföretagen</v>
      </c>
      <c r="C583" t="str">
        <f>"GS Facket för skogs-, trä- och grafisk bransch"</f>
        <v>GS Facket för skogs-, trä- och grafisk bransch</v>
      </c>
      <c r="D583" t="str">
        <f>"2025-03-31"</f>
        <v>2025-03-31</v>
      </c>
    </row>
    <row r="584" spans="1:4" x14ac:dyDescent="0.35">
      <c r="A584" t="str">
        <f>"Träindustri"</f>
        <v>Träindustri</v>
      </c>
      <c r="B584" t="str">
        <f t="shared" si="63"/>
        <v>Trä- och Möbelföretagen</v>
      </c>
      <c r="C584" t="str">
        <f>"Ledarna"</f>
        <v>Ledarna</v>
      </c>
      <c r="D584" t="str">
        <f>""</f>
        <v/>
      </c>
    </row>
    <row r="585" spans="1:4" x14ac:dyDescent="0.35">
      <c r="A585" t="str">
        <f>"Stoppmöbelindustri"</f>
        <v>Stoppmöbelindustri</v>
      </c>
      <c r="B585" t="str">
        <f t="shared" si="63"/>
        <v>Trä- och Möbelföretagen</v>
      </c>
      <c r="C585" t="str">
        <f>"Ledarna"</f>
        <v>Ledarna</v>
      </c>
      <c r="D585" t="str">
        <f>""</f>
        <v/>
      </c>
    </row>
    <row r="586" spans="1:4" x14ac:dyDescent="0.35">
      <c r="A586" t="str">
        <f>"Stoppmöbelindustri"</f>
        <v>Stoppmöbelindustri</v>
      </c>
      <c r="B586" t="str">
        <f t="shared" si="63"/>
        <v>Trä- och Möbelföretagen</v>
      </c>
      <c r="C586" t="str">
        <f>"Sveriges Ingenjörer"</f>
        <v>Sveriges Ingenjörer</v>
      </c>
      <c r="D586" t="str">
        <f>"2025-03-31"</f>
        <v>2025-03-31</v>
      </c>
    </row>
    <row r="587" spans="1:4" x14ac:dyDescent="0.35">
      <c r="A587" t="str">
        <f>"Träindustri"</f>
        <v>Träindustri</v>
      </c>
      <c r="B587" t="str">
        <f t="shared" si="63"/>
        <v>Trä- och Möbelföretagen</v>
      </c>
      <c r="C587" t="str">
        <f>"Sveriges Ingenjörer"</f>
        <v>Sveriges Ingenjörer</v>
      </c>
      <c r="D587" t="str">
        <f>"2025-03-31"</f>
        <v>2025-03-31</v>
      </c>
    </row>
    <row r="588" spans="1:4" x14ac:dyDescent="0.35">
      <c r="A588" t="str">
        <f>"Stoppmöbelindustri"</f>
        <v>Stoppmöbelindustri</v>
      </c>
      <c r="B588" t="str">
        <f t="shared" si="63"/>
        <v>Trä- och Möbelföretagen</v>
      </c>
      <c r="C588" t="str">
        <f>"Unionen"</f>
        <v>Unionen</v>
      </c>
      <c r="D588" t="str">
        <f>"2025-03-31"</f>
        <v>2025-03-31</v>
      </c>
    </row>
    <row r="589" spans="1:4" x14ac:dyDescent="0.35">
      <c r="A589" t="str">
        <f>"Träindustri"</f>
        <v>Träindustri</v>
      </c>
      <c r="B589" t="str">
        <f t="shared" si="63"/>
        <v>Trä- och Möbelföretagen</v>
      </c>
      <c r="C589" t="str">
        <f>"Unionen"</f>
        <v>Unionen</v>
      </c>
      <c r="D589" t="str">
        <f>"2025-03-31"</f>
        <v>2025-03-31</v>
      </c>
    </row>
    <row r="590" spans="1:4" x14ac:dyDescent="0.35">
      <c r="A590" t="str">
        <f>"Spårtrafik"</f>
        <v>Spårtrafik</v>
      </c>
      <c r="B590" t="str">
        <f>"Tågföretagen"</f>
        <v>Tågföretagen</v>
      </c>
      <c r="C590" t="str">
        <f>"Fackförbundet ST"</f>
        <v>Fackförbundet ST</v>
      </c>
      <c r="D590" t="str">
        <f>"2025-04-30"</f>
        <v>2025-04-30</v>
      </c>
    </row>
    <row r="591" spans="1:4" x14ac:dyDescent="0.35">
      <c r="A591" t="str">
        <f>"Spårtrafik"</f>
        <v>Spårtrafik</v>
      </c>
      <c r="B591" t="str">
        <f>"Tågföretagen"</f>
        <v>Tågföretagen</v>
      </c>
      <c r="C591" t="str">
        <f>"Seko, Service- och kommunikationsfacket"</f>
        <v>Seko, Service- och kommunikationsfacket</v>
      </c>
      <c r="D591" t="str">
        <f>"2025-04-30"</f>
        <v>2025-04-30</v>
      </c>
    </row>
    <row r="592" spans="1:4" x14ac:dyDescent="0.35">
      <c r="A592" t="str">
        <f>"Spårtrafik"</f>
        <v>Spårtrafik</v>
      </c>
      <c r="B592" t="str">
        <f>"Tågföretagen"</f>
        <v>Tågföretagen</v>
      </c>
      <c r="C592" t="str">
        <f>"SRAT"</f>
        <v>SRAT</v>
      </c>
      <c r="D592" t="str">
        <f>"2025-04-30"</f>
        <v>2025-04-30</v>
      </c>
    </row>
    <row r="593" spans="1:4" x14ac:dyDescent="0.35">
      <c r="A593" t="str">
        <f>"Spårtrafik"</f>
        <v>Spårtrafik</v>
      </c>
      <c r="B593" t="str">
        <f>"Tågföretagen"</f>
        <v>Tågföretagen</v>
      </c>
      <c r="C593" t="str">
        <f>"Sveriges Ingenjörer"</f>
        <v>Sveriges Ingenjörer</v>
      </c>
      <c r="D593" t="str">
        <f>"2025-04-30"</f>
        <v>2025-04-30</v>
      </c>
    </row>
    <row r="594" spans="1:4" x14ac:dyDescent="0.35">
      <c r="A594" t="str">
        <f>"Gröna riks"</f>
        <v>Gröna riks</v>
      </c>
      <c r="B594" t="str">
        <f t="shared" ref="B594:B602" si="64">"Visita"</f>
        <v>Visita</v>
      </c>
      <c r="C594" t="str">
        <f t="shared" ref="C594:C599" si="65">"Hotell- och Restaurangfacket"</f>
        <v>Hotell- och Restaurangfacket</v>
      </c>
      <c r="D594" t="str">
        <f t="shared" ref="D594:D599" si="66">"2025-03-31"</f>
        <v>2025-03-31</v>
      </c>
    </row>
    <row r="595" spans="1:4" x14ac:dyDescent="0.35">
      <c r="A595" t="str">
        <f>"Turistanläggningar"</f>
        <v>Turistanläggningar</v>
      </c>
      <c r="B595" t="str">
        <f t="shared" si="64"/>
        <v>Visita</v>
      </c>
      <c r="C595" t="str">
        <f t="shared" si="65"/>
        <v>Hotell- och Restaurangfacket</v>
      </c>
      <c r="D595" t="str">
        <f t="shared" si="66"/>
        <v>2025-03-31</v>
      </c>
    </row>
    <row r="596" spans="1:4" x14ac:dyDescent="0.35">
      <c r="A596" t="str">
        <f>"Ordningsvaktsavtal"</f>
        <v>Ordningsvaktsavtal</v>
      </c>
      <c r="B596" t="str">
        <f t="shared" si="64"/>
        <v>Visita</v>
      </c>
      <c r="C596" t="str">
        <f t="shared" si="65"/>
        <v>Hotell- och Restaurangfacket</v>
      </c>
      <c r="D596" t="str">
        <f t="shared" si="66"/>
        <v>2025-03-31</v>
      </c>
    </row>
    <row r="597" spans="1:4" x14ac:dyDescent="0.35">
      <c r="A597" t="str">
        <f>"Casinoföretag"</f>
        <v>Casinoföretag</v>
      </c>
      <c r="B597" t="str">
        <f t="shared" si="64"/>
        <v>Visita</v>
      </c>
      <c r="C597" t="str">
        <f t="shared" si="65"/>
        <v>Hotell- och Restaurangfacket</v>
      </c>
      <c r="D597" t="str">
        <f t="shared" si="66"/>
        <v>2025-03-31</v>
      </c>
    </row>
    <row r="598" spans="1:4" x14ac:dyDescent="0.35">
      <c r="A598" t="str">
        <f>"Nöjesavtal"</f>
        <v>Nöjesavtal</v>
      </c>
      <c r="B598" t="str">
        <f t="shared" si="64"/>
        <v>Visita</v>
      </c>
      <c r="C598" t="str">
        <f t="shared" si="65"/>
        <v>Hotell- och Restaurangfacket</v>
      </c>
      <c r="D598" t="str">
        <f t="shared" si="66"/>
        <v>2025-03-31</v>
      </c>
    </row>
    <row r="599" spans="1:4" x14ac:dyDescent="0.35">
      <c r="A599" t="str">
        <f>"Serveringslönesystemet"</f>
        <v>Serveringslönesystemet</v>
      </c>
      <c r="B599" t="str">
        <f t="shared" si="64"/>
        <v>Visita</v>
      </c>
      <c r="C599" t="str">
        <f t="shared" si="65"/>
        <v>Hotell- och Restaurangfacket</v>
      </c>
      <c r="D599" t="str">
        <f t="shared" si="66"/>
        <v>2025-03-31</v>
      </c>
    </row>
    <row r="600" spans="1:4" x14ac:dyDescent="0.35">
      <c r="A600" t="str">
        <f>"Musikeravtal"</f>
        <v>Musikeravtal</v>
      </c>
      <c r="B600" t="str">
        <f t="shared" si="64"/>
        <v>Visita</v>
      </c>
      <c r="C600" t="str">
        <f>"Musikerförbundet"</f>
        <v>Musikerförbundet</v>
      </c>
      <c r="D600" t="str">
        <f>"2020-12-31"</f>
        <v>2020-12-31</v>
      </c>
    </row>
    <row r="601" spans="1:4" x14ac:dyDescent="0.35">
      <c r="A601" t="str">
        <f>"Måltidsservice"</f>
        <v>Måltidsservice</v>
      </c>
      <c r="B601" t="str">
        <f t="shared" si="64"/>
        <v>Visita</v>
      </c>
      <c r="C601" t="str">
        <f>"Svenska Kommunalarbetareförbundet"</f>
        <v>Svenska Kommunalarbetareförbundet</v>
      </c>
      <c r="D601" t="str">
        <f>"2025-08-31"</f>
        <v>2025-08-31</v>
      </c>
    </row>
    <row r="602" spans="1:4" x14ac:dyDescent="0.35">
      <c r="A602" t="str">
        <f>"Tjänstemannaavtal"</f>
        <v>Tjänstemannaavtal</v>
      </c>
      <c r="B602" t="str">
        <f t="shared" si="64"/>
        <v>Visita</v>
      </c>
      <c r="C602" t="str">
        <f>"Unionen"</f>
        <v>Unionen</v>
      </c>
      <c r="D602" t="str">
        <f>"2025-05-31"</f>
        <v>2025-05-31</v>
      </c>
    </row>
    <row r="603" spans="1:4" x14ac:dyDescent="0.35">
      <c r="A603" t="str">
        <f>"Företagshälsovård"</f>
        <v>Företagshälsovård</v>
      </c>
      <c r="B603" t="str">
        <f t="shared" ref="B603:B623" si="67">"Vårdföretagarna"</f>
        <v>Vårdföretagarna</v>
      </c>
      <c r="C603" t="str">
        <f>"Akademikerförbunden"</f>
        <v>Akademikerförbunden</v>
      </c>
      <c r="D603" t="str">
        <f>""</f>
        <v/>
      </c>
    </row>
    <row r="604" spans="1:4" x14ac:dyDescent="0.35">
      <c r="A604" t="str">
        <f>"Vård och behandlingsverksamhet samt omsorgsverksamhet"</f>
        <v>Vård och behandlingsverksamhet samt omsorgsverksamhet</v>
      </c>
      <c r="B604" t="str">
        <f t="shared" si="67"/>
        <v>Vårdföretagarna</v>
      </c>
      <c r="C604" t="str">
        <f>"Akademikerförbunden"</f>
        <v>Akademikerförbunden</v>
      </c>
      <c r="D604" t="str">
        <f>""</f>
        <v/>
      </c>
    </row>
    <row r="605" spans="1:4" x14ac:dyDescent="0.35">
      <c r="A605" t="str">
        <f>"Äldreomsorg"</f>
        <v>Äldreomsorg</v>
      </c>
      <c r="B605" t="str">
        <f t="shared" si="67"/>
        <v>Vårdföretagarna</v>
      </c>
      <c r="C605" t="str">
        <f>"Akademikerförbunden"</f>
        <v>Akademikerförbunden</v>
      </c>
      <c r="D605" t="str">
        <f>""</f>
        <v/>
      </c>
    </row>
    <row r="606" spans="1:4" x14ac:dyDescent="0.35">
      <c r="A606" t="str">
        <f>"Städning i egen regi"</f>
        <v>Städning i egen regi</v>
      </c>
      <c r="B606" t="str">
        <f t="shared" si="67"/>
        <v>Vårdföretagarna</v>
      </c>
      <c r="C606" t="str">
        <f>"Fastighetsanställdas Förbund"</f>
        <v>Fastighetsanställdas Förbund</v>
      </c>
      <c r="D606" t="str">
        <f>"2025-10-31"</f>
        <v>2025-10-31</v>
      </c>
    </row>
    <row r="607" spans="1:4" x14ac:dyDescent="0.35">
      <c r="A607" t="str">
        <f>"Tandhygienister - Bransch Tandvård (A)"</f>
        <v>Tandhygienister - Bransch Tandvård (A)</v>
      </c>
      <c r="B607" t="str">
        <f t="shared" si="67"/>
        <v>Vårdföretagarna</v>
      </c>
      <c r="C607" t="str">
        <f>"SRAT"</f>
        <v>SRAT</v>
      </c>
      <c r="D607" t="str">
        <f>""</f>
        <v/>
      </c>
    </row>
    <row r="608" spans="1:4" x14ac:dyDescent="0.35">
      <c r="A608" t="str">
        <f>"Äldreomsorg"</f>
        <v>Äldreomsorg</v>
      </c>
      <c r="B608" t="str">
        <f t="shared" si="67"/>
        <v>Vårdföretagarna</v>
      </c>
      <c r="C608" t="str">
        <f>"Svenska Kommunalarbetareförbundet"</f>
        <v>Svenska Kommunalarbetareförbundet</v>
      </c>
      <c r="D608" t="str">
        <f>"2025-05-31"</f>
        <v>2025-05-31</v>
      </c>
    </row>
    <row r="609" spans="1:4" x14ac:dyDescent="0.35">
      <c r="A609" t="str">
        <f>"Vård- och Behandlings- samt Omsorgsverksamhet"</f>
        <v>Vård- och Behandlings- samt Omsorgsverksamhet</v>
      </c>
      <c r="B609" t="str">
        <f t="shared" si="67"/>
        <v>Vårdföretagarna</v>
      </c>
      <c r="C609" t="str">
        <f>"Svenska Kommunalarbetareförbundet"</f>
        <v>Svenska Kommunalarbetareförbundet</v>
      </c>
      <c r="D609" t="str">
        <f>"2025-05-31"</f>
        <v>2025-05-31</v>
      </c>
    </row>
    <row r="610" spans="1:4" x14ac:dyDescent="0.35">
      <c r="A610" t="str">
        <f>"Personliga assistenter"</f>
        <v>Personliga assistenter</v>
      </c>
      <c r="B610" t="str">
        <f t="shared" si="67"/>
        <v>Vårdföretagarna</v>
      </c>
      <c r="C610" t="str">
        <f>"Svenska Kommunalarbetareförbundet"</f>
        <v>Svenska Kommunalarbetareförbundet</v>
      </c>
      <c r="D610" t="str">
        <f>"2025-09-30"</f>
        <v>2025-09-30</v>
      </c>
    </row>
    <row r="611" spans="1:4" x14ac:dyDescent="0.35">
      <c r="A611" t="str">
        <f>"Ambulanssjukvårdare"</f>
        <v>Ambulanssjukvårdare</v>
      </c>
      <c r="B611" t="str">
        <f t="shared" si="67"/>
        <v>Vårdföretagarna</v>
      </c>
      <c r="C611" t="str">
        <f>"Svenska Kommunalarbetareförbundet"</f>
        <v>Svenska Kommunalarbetareförbundet</v>
      </c>
      <c r="D611" t="str">
        <f>"2025-09-30"</f>
        <v>2025-09-30</v>
      </c>
    </row>
    <row r="612" spans="1:4" x14ac:dyDescent="0.35">
      <c r="A612" t="str">
        <f>"Företagshälsovård"</f>
        <v>Företagshälsovård</v>
      </c>
      <c r="B612" t="str">
        <f t="shared" si="67"/>
        <v>Vårdföretagarna</v>
      </c>
      <c r="C612" t="str">
        <f>"Sveriges Läkarförbund"</f>
        <v>Sveriges Läkarförbund</v>
      </c>
      <c r="D612" t="str">
        <f>""</f>
        <v/>
      </c>
    </row>
    <row r="613" spans="1:4" x14ac:dyDescent="0.35">
      <c r="A613" t="str">
        <f>"Vård och Behandling samt Omsorgsverksamhet"</f>
        <v>Vård och Behandling samt Omsorgsverksamhet</v>
      </c>
      <c r="B613" t="str">
        <f t="shared" si="67"/>
        <v>Vårdföretagarna</v>
      </c>
      <c r="C613" t="str">
        <f>"Sveriges Läkarförbund"</f>
        <v>Sveriges Läkarförbund</v>
      </c>
      <c r="D613" t="str">
        <f>""</f>
        <v/>
      </c>
    </row>
    <row r="614" spans="1:4" x14ac:dyDescent="0.35">
      <c r="A614" t="str">
        <f>"Äldreomsorg"</f>
        <v>Äldreomsorg</v>
      </c>
      <c r="B614" t="str">
        <f t="shared" si="67"/>
        <v>Vårdföretagarna</v>
      </c>
      <c r="C614" t="str">
        <f>"Sveriges Läkarförbund"</f>
        <v>Sveriges Läkarförbund</v>
      </c>
      <c r="D614" t="str">
        <f>""</f>
        <v/>
      </c>
    </row>
    <row r="615" spans="1:4" x14ac:dyDescent="0.35">
      <c r="A615" t="str">
        <f>"Tandläkarmottagningar - Bransch Tandvård (A)"</f>
        <v>Tandläkarmottagningar - Bransch Tandvård (A)</v>
      </c>
      <c r="B615" t="str">
        <f t="shared" si="67"/>
        <v>Vårdföretagarna</v>
      </c>
      <c r="C615" t="str">
        <f>"Unionen"</f>
        <v>Unionen</v>
      </c>
      <c r="D615" t="str">
        <f>"2025-06-30"</f>
        <v>2025-06-30</v>
      </c>
    </row>
    <row r="616" spans="1:4" x14ac:dyDescent="0.35">
      <c r="A616" t="str">
        <f>"Dentallaboratorier (B)"</f>
        <v>Dentallaboratorier (B)</v>
      </c>
      <c r="B616" t="str">
        <f t="shared" si="67"/>
        <v>Vårdföretagarna</v>
      </c>
      <c r="C616" t="str">
        <f>"Unionen"</f>
        <v>Unionen</v>
      </c>
      <c r="D616" t="str">
        <f>"2025-06-30"</f>
        <v>2025-06-30</v>
      </c>
    </row>
    <row r="617" spans="1:4" x14ac:dyDescent="0.35">
      <c r="A617" t="str">
        <f>"Företagshälsovård"</f>
        <v>Företagshälsovård</v>
      </c>
      <c r="B617" t="str">
        <f t="shared" si="67"/>
        <v>Vårdföretagarna</v>
      </c>
      <c r="C617" t="str">
        <f>"Vision"</f>
        <v>Vision</v>
      </c>
      <c r="D617" t="str">
        <f>""</f>
        <v/>
      </c>
    </row>
    <row r="618" spans="1:4" x14ac:dyDescent="0.35">
      <c r="A618" t="str">
        <f>"Äldreomsorg"</f>
        <v>Äldreomsorg</v>
      </c>
      <c r="B618" t="str">
        <f t="shared" si="67"/>
        <v>Vårdföretagarna</v>
      </c>
      <c r="C618" t="str">
        <f>"Vision"</f>
        <v>Vision</v>
      </c>
      <c r="D618" t="str">
        <f>""</f>
        <v/>
      </c>
    </row>
    <row r="619" spans="1:4" x14ac:dyDescent="0.35">
      <c r="A619" t="str">
        <f>"Vård och Behandling samt Omsorgsverksamhet"</f>
        <v>Vård och Behandling samt Omsorgsverksamhet</v>
      </c>
      <c r="B619" t="str">
        <f t="shared" si="67"/>
        <v>Vårdföretagarna</v>
      </c>
      <c r="C619" t="str">
        <f>"Vision"</f>
        <v>Vision</v>
      </c>
      <c r="D619" t="str">
        <f>""</f>
        <v/>
      </c>
    </row>
    <row r="620" spans="1:4" x14ac:dyDescent="0.35">
      <c r="A620" t="str">
        <f>"Äldreomsorg"</f>
        <v>Äldreomsorg</v>
      </c>
      <c r="B620" t="str">
        <f t="shared" si="67"/>
        <v>Vårdföretagarna</v>
      </c>
      <c r="C620" t="str">
        <f>"Vårdförbundet"</f>
        <v>Vårdförbundet</v>
      </c>
      <c r="D620" t="str">
        <f>""</f>
        <v/>
      </c>
    </row>
    <row r="621" spans="1:4" x14ac:dyDescent="0.35">
      <c r="A621" t="str">
        <f>"Vård och behandlingsverksamhet samt omsorgsverksamhet"</f>
        <v>Vård och behandlingsverksamhet samt omsorgsverksamhet</v>
      </c>
      <c r="B621" t="str">
        <f t="shared" si="67"/>
        <v>Vårdföretagarna</v>
      </c>
      <c r="C621" t="str">
        <f>"Vårdförbundet"</f>
        <v>Vårdförbundet</v>
      </c>
      <c r="D621" t="str">
        <f>""</f>
        <v/>
      </c>
    </row>
    <row r="622" spans="1:4" x14ac:dyDescent="0.35">
      <c r="A622" t="str">
        <f>"Företagshälsovård"</f>
        <v>Företagshälsovård</v>
      </c>
      <c r="B622" t="str">
        <f t="shared" si="67"/>
        <v>Vårdföretagarna</v>
      </c>
      <c r="C622" t="str">
        <f>"Vårdförbundet"</f>
        <v>Vårdförbundet</v>
      </c>
      <c r="D622" t="str">
        <f>""</f>
        <v/>
      </c>
    </row>
    <row r="623" spans="1:4" x14ac:dyDescent="0.35">
      <c r="A623" t="str">
        <f>"Sjuksköterskor anställda i ambulansföretag"</f>
        <v>Sjuksköterskor anställda i ambulansföretag</v>
      </c>
      <c r="B623" t="str">
        <f t="shared" si="67"/>
        <v>Vårdföretagarna</v>
      </c>
      <c r="C623" t="str">
        <f>"Vårdförbundet"</f>
        <v>Vårdförbundet</v>
      </c>
      <c r="D623" t="str">
        <f>""</f>
        <v/>
      </c>
    </row>
  </sheetData>
  <autoFilter ref="A1:D624" xr:uid="{00000000-0009-0000-0000-000000000000}"/>
  <sortState xmlns:xlrd2="http://schemas.microsoft.com/office/spreadsheetml/2017/richdata2" ref="A2:D626">
    <sortCondition ref="B2:B626"/>
    <sortCondition ref="C2:C62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23"/>
  <sheetViews>
    <sheetView tabSelected="1" topLeftCell="A480" zoomScale="57" workbookViewId="0">
      <selection activeCell="B492" sqref="B492"/>
    </sheetView>
  </sheetViews>
  <sheetFormatPr defaultRowHeight="14.5" x14ac:dyDescent="0.35"/>
  <cols>
    <col min="1" max="1" width="49.1796875" customWidth="1"/>
    <col min="2" max="2" width="47.453125" customWidth="1"/>
    <col min="3" max="3" width="40.90625" customWidth="1"/>
    <col min="4" max="4" width="30.81640625" customWidth="1"/>
  </cols>
  <sheetData>
    <row r="1" spans="1:4" x14ac:dyDescent="0.3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5">
      <c r="A2" t="str">
        <f>"BEA"</f>
        <v>BEA</v>
      </c>
      <c r="B2" t="str">
        <f>"SKR - Sveriges Kommuner och Regioner"</f>
        <v>SKR - Sveriges Kommuner och Regioner</v>
      </c>
      <c r="C2" t="str">
        <f t="shared" ref="C2:C11" si="0">"AkademikerAlliansen"</f>
        <v>AkademikerAlliansen</v>
      </c>
      <c r="D2" t="str">
        <f>""</f>
        <v/>
      </c>
    </row>
    <row r="3" spans="1:4" x14ac:dyDescent="0.35">
      <c r="A3" t="str">
        <f>"Avtalsområde AkademikerAlliansen"</f>
        <v>Avtalsområde AkademikerAlliansen</v>
      </c>
      <c r="B3" t="str">
        <f>"SKR - Sveriges Kommuner och Regioner"</f>
        <v>SKR - Sveriges Kommuner och Regioner</v>
      </c>
      <c r="C3" t="str">
        <f t="shared" si="0"/>
        <v>AkademikerAlliansen</v>
      </c>
      <c r="D3" t="str">
        <f>""</f>
        <v/>
      </c>
    </row>
    <row r="4" spans="1:4" x14ac:dyDescent="0.35">
      <c r="A4" t="str">
        <f>"BEA"</f>
        <v>BEA</v>
      </c>
      <c r="B4" t="str">
        <f t="shared" ref="B4:B11" si="1">"Sobona"</f>
        <v>Sobona</v>
      </c>
      <c r="C4" t="str">
        <f t="shared" si="0"/>
        <v>AkademikerAlliansen</v>
      </c>
      <c r="D4" t="str">
        <f>""</f>
        <v/>
      </c>
    </row>
    <row r="5" spans="1:4" x14ac:dyDescent="0.35">
      <c r="A5" t="str">
        <f>"BÖK Trafik"</f>
        <v>BÖK Trafik</v>
      </c>
      <c r="B5" t="str">
        <f t="shared" si="1"/>
        <v>Sobona</v>
      </c>
      <c r="C5" t="str">
        <f t="shared" si="0"/>
        <v>AkademikerAlliansen</v>
      </c>
      <c r="D5" t="str">
        <f>"2025-09-30"</f>
        <v>2025-09-30</v>
      </c>
    </row>
    <row r="6" spans="1:4" x14ac:dyDescent="0.35">
      <c r="A6" t="str">
        <f>"Avtalsområde AkademikerAlliansen"</f>
        <v>Avtalsområde AkademikerAlliansen</v>
      </c>
      <c r="B6" t="str">
        <f t="shared" si="1"/>
        <v>Sobona</v>
      </c>
      <c r="C6" t="str">
        <f t="shared" si="0"/>
        <v>AkademikerAlliansen</v>
      </c>
      <c r="D6" t="str">
        <f>""</f>
        <v/>
      </c>
    </row>
    <row r="7" spans="1:4" x14ac:dyDescent="0.35">
      <c r="A7" t="str">
        <f>"BÖK Besöksnäring och Kulturarv"</f>
        <v>BÖK Besöksnäring och Kulturarv</v>
      </c>
      <c r="B7" t="str">
        <f t="shared" si="1"/>
        <v>Sobona</v>
      </c>
      <c r="C7" t="str">
        <f t="shared" si="0"/>
        <v>AkademikerAlliansen</v>
      </c>
      <c r="D7" t="str">
        <f>"2025-03-31"</f>
        <v>2025-03-31</v>
      </c>
    </row>
    <row r="8" spans="1:4" x14ac:dyDescent="0.35">
      <c r="A8" t="str">
        <f>"BÖK Vatten &amp; Miljö"</f>
        <v>BÖK Vatten &amp; Miljö</v>
      </c>
      <c r="B8" t="str">
        <f t="shared" si="1"/>
        <v>Sobona</v>
      </c>
      <c r="C8" t="str">
        <f t="shared" si="0"/>
        <v>AkademikerAlliansen</v>
      </c>
      <c r="D8" t="str">
        <f>"2025-03-31"</f>
        <v>2025-03-31</v>
      </c>
    </row>
    <row r="9" spans="1:4" x14ac:dyDescent="0.35">
      <c r="A9" t="str">
        <f>"BÖK Flygplatser"</f>
        <v>BÖK Flygplatser</v>
      </c>
      <c r="B9" t="str">
        <f t="shared" si="1"/>
        <v>Sobona</v>
      </c>
      <c r="C9" t="str">
        <f t="shared" si="0"/>
        <v>AkademikerAlliansen</v>
      </c>
      <c r="D9" t="str">
        <f>"2025-03-31"</f>
        <v>2025-03-31</v>
      </c>
    </row>
    <row r="10" spans="1:4" x14ac:dyDescent="0.35">
      <c r="A10" t="str">
        <f>"BÖK Energi"</f>
        <v>BÖK Energi</v>
      </c>
      <c r="B10" t="str">
        <f t="shared" si="1"/>
        <v>Sobona</v>
      </c>
      <c r="C10" t="str">
        <f t="shared" si="0"/>
        <v>AkademikerAlliansen</v>
      </c>
      <c r="D10" t="str">
        <f>"2025-03-31"</f>
        <v>2025-03-31</v>
      </c>
    </row>
    <row r="11" spans="1:4" x14ac:dyDescent="0.35">
      <c r="A11" t="str">
        <f>"BÖK Fastigheter"</f>
        <v>BÖK Fastigheter</v>
      </c>
      <c r="B11" t="str">
        <f t="shared" si="1"/>
        <v>Sobona</v>
      </c>
      <c r="C11" t="str">
        <f t="shared" si="0"/>
        <v>AkademikerAlliansen</v>
      </c>
      <c r="D11" t="str">
        <f>"2025-03-31"</f>
        <v>2025-03-31</v>
      </c>
    </row>
    <row r="12" spans="1:4" x14ac:dyDescent="0.35">
      <c r="A12" t="str">
        <f>"Tjänstemän i tjänste- och Medieföretag"</f>
        <v>Tjänstemän i tjänste- och Medieföretag</v>
      </c>
      <c r="B12" t="str">
        <f>"Almega Tjänsteföretagen"</f>
        <v>Almega Tjänsteföretagen</v>
      </c>
      <c r="C12" t="str">
        <f t="shared" ref="C12:C41" si="2">"Akademikerförbunden"</f>
        <v>Akademikerförbunden</v>
      </c>
      <c r="D12" t="str">
        <f>"2025-04-30"</f>
        <v>2025-04-30</v>
      </c>
    </row>
    <row r="13" spans="1:4" x14ac:dyDescent="0.35">
      <c r="A13" t="str">
        <f>"Revisions- och konsultföretag"</f>
        <v>Revisions- och konsultföretag</v>
      </c>
      <c r="B13" t="str">
        <f>"Almega Tjänsteföretagen"</f>
        <v>Almega Tjänsteföretagen</v>
      </c>
      <c r="C13" t="str">
        <f t="shared" si="2"/>
        <v>Akademikerförbunden</v>
      </c>
      <c r="D13" t="str">
        <f>"2025-12-31"</f>
        <v>2025-12-31</v>
      </c>
    </row>
    <row r="14" spans="1:4" x14ac:dyDescent="0.35">
      <c r="A14" t="str">
        <f>"Högskola"</f>
        <v>Högskola</v>
      </c>
      <c r="B14" t="str">
        <f t="shared" ref="B14:B21" si="3">"Arbetsgivaralliansen"</f>
        <v>Arbetsgivaralliansen</v>
      </c>
      <c r="C14" t="str">
        <f t="shared" si="2"/>
        <v>Akademikerförbunden</v>
      </c>
      <c r="D14" t="str">
        <f>"2025-06-30"</f>
        <v>2025-06-30</v>
      </c>
    </row>
    <row r="15" spans="1:4" x14ac:dyDescent="0.35">
      <c r="A15" t="str">
        <f>"Ideella och idéburna organisationer"</f>
        <v>Ideella och idéburna organisationer</v>
      </c>
      <c r="B15" t="str">
        <f t="shared" si="3"/>
        <v>Arbetsgivaralliansen</v>
      </c>
      <c r="C15" t="str">
        <f t="shared" si="2"/>
        <v>Akademikerförbunden</v>
      </c>
      <c r="D15" t="str">
        <f>"2025-04-30"</f>
        <v>2025-04-30</v>
      </c>
    </row>
    <row r="16" spans="1:4" x14ac:dyDescent="0.35">
      <c r="A16" t="str">
        <f>"Vård och omsorg"</f>
        <v>Vård och omsorg</v>
      </c>
      <c r="B16" t="str">
        <f t="shared" si="3"/>
        <v>Arbetsgivaralliansen</v>
      </c>
      <c r="C16" t="str">
        <f t="shared" si="2"/>
        <v>Akademikerförbunden</v>
      </c>
      <c r="D16" t="str">
        <f>"2025-09-30"</f>
        <v>2025-09-30</v>
      </c>
    </row>
    <row r="17" spans="1:4" x14ac:dyDescent="0.35">
      <c r="A17" t="str">
        <f>"Upplevelse och kultur"</f>
        <v>Upplevelse och kultur</v>
      </c>
      <c r="B17" t="str">
        <f t="shared" si="3"/>
        <v>Arbetsgivaralliansen</v>
      </c>
      <c r="C17" t="str">
        <f t="shared" si="2"/>
        <v>Akademikerförbunden</v>
      </c>
      <c r="D17" t="str">
        <f>"2025-04-30"</f>
        <v>2025-04-30</v>
      </c>
    </row>
    <row r="18" spans="1:4" x14ac:dyDescent="0.35">
      <c r="A18" t="str">
        <f>"Skola/utbildning"</f>
        <v>Skola/utbildning</v>
      </c>
      <c r="B18" t="str">
        <f t="shared" si="3"/>
        <v>Arbetsgivaralliansen</v>
      </c>
      <c r="C18" t="str">
        <f t="shared" si="2"/>
        <v>Akademikerförbunden</v>
      </c>
      <c r="D18" t="str">
        <f>"2025-04-30"</f>
        <v>2025-04-30</v>
      </c>
    </row>
    <row r="19" spans="1:4" x14ac:dyDescent="0.35">
      <c r="A19" t="str">
        <f>"Folkhögskolor"</f>
        <v>Folkhögskolor</v>
      </c>
      <c r="B19" t="str">
        <f t="shared" si="3"/>
        <v>Arbetsgivaralliansen</v>
      </c>
      <c r="C19" t="str">
        <f t="shared" si="2"/>
        <v>Akademikerförbunden</v>
      </c>
      <c r="D19" t="str">
        <f>"2025-04-30"</f>
        <v>2025-04-30</v>
      </c>
    </row>
    <row r="20" spans="1:4" x14ac:dyDescent="0.35">
      <c r="A20" t="str">
        <f>"Idrottsavtalet"</f>
        <v>Idrottsavtalet</v>
      </c>
      <c r="B20" t="str">
        <f t="shared" si="3"/>
        <v>Arbetsgivaralliansen</v>
      </c>
      <c r="C20" t="str">
        <f t="shared" si="2"/>
        <v>Akademikerförbunden</v>
      </c>
      <c r="D20" t="str">
        <f>"2025-10-31"</f>
        <v>2025-10-31</v>
      </c>
    </row>
    <row r="21" spans="1:4" x14ac:dyDescent="0.35">
      <c r="A21" t="str">
        <f>"Trossamfund och ekumeniska organisationer"</f>
        <v>Trossamfund och ekumeniska organisationer</v>
      </c>
      <c r="B21" t="str">
        <f t="shared" si="3"/>
        <v>Arbetsgivaralliansen</v>
      </c>
      <c r="C21" t="str">
        <f t="shared" si="2"/>
        <v>Akademikerförbunden</v>
      </c>
      <c r="D21" t="str">
        <f>"2025-09-30"</f>
        <v>2025-09-30</v>
      </c>
    </row>
    <row r="22" spans="1:4" x14ac:dyDescent="0.35">
      <c r="A22" t="str">
        <f>"Enskilda högskolor"</f>
        <v>Enskilda högskolor</v>
      </c>
      <c r="B22" t="str">
        <f t="shared" ref="B22:B31" si="4">"Fremia"</f>
        <v>Fremia</v>
      </c>
      <c r="C22" t="str">
        <f t="shared" si="2"/>
        <v>Akademikerförbunden</v>
      </c>
      <c r="D22" t="str">
        <f>""</f>
        <v/>
      </c>
    </row>
    <row r="23" spans="1:4" x14ac:dyDescent="0.35">
      <c r="A23" t="str">
        <f>"Juridisk Verksamhet"</f>
        <v>Juridisk Verksamhet</v>
      </c>
      <c r="B23" t="str">
        <f t="shared" si="4"/>
        <v>Fremia</v>
      </c>
      <c r="C23" t="str">
        <f t="shared" si="2"/>
        <v>Akademikerförbunden</v>
      </c>
      <c r="D23" t="str">
        <f>""</f>
        <v/>
      </c>
    </row>
    <row r="24" spans="1:4" x14ac:dyDescent="0.35">
      <c r="A24" t="str">
        <f>"Folksam"</f>
        <v>Folksam</v>
      </c>
      <c r="B24" t="str">
        <f t="shared" si="4"/>
        <v>Fremia</v>
      </c>
      <c r="C24" t="str">
        <f t="shared" si="2"/>
        <v>Akademikerförbunden</v>
      </c>
      <c r="D24" t="str">
        <f>""</f>
        <v/>
      </c>
    </row>
    <row r="25" spans="1:4" x14ac:dyDescent="0.35">
      <c r="A25" t="str">
        <f>"Tjänstemän - Civilsamhället"</f>
        <v>Tjänstemän - Civilsamhället</v>
      </c>
      <c r="B25" t="str">
        <f t="shared" si="4"/>
        <v>Fremia</v>
      </c>
      <c r="C25" t="str">
        <f t="shared" si="2"/>
        <v>Akademikerförbunden</v>
      </c>
      <c r="D25" t="str">
        <f>"2025-04-30"</f>
        <v>2025-04-30</v>
      </c>
    </row>
    <row r="26" spans="1:4" x14ac:dyDescent="0.35">
      <c r="A26" t="str">
        <f>"Hälsa, vård och övrig omsorg"</f>
        <v>Hälsa, vård och övrig omsorg</v>
      </c>
      <c r="B26" t="str">
        <f t="shared" si="4"/>
        <v>Fremia</v>
      </c>
      <c r="C26" t="str">
        <f t="shared" si="2"/>
        <v>Akademikerförbunden</v>
      </c>
      <c r="D26" t="str">
        <f>"2025-05-31"</f>
        <v>2025-05-31</v>
      </c>
    </row>
    <row r="27" spans="1:4" x14ac:dyDescent="0.35">
      <c r="A27" t="str">
        <f>"Tjänstemannaavtal (direktanställda tjänstemän)"</f>
        <v>Tjänstemannaavtal (direktanställda tjänstemän)</v>
      </c>
      <c r="B27" t="str">
        <f t="shared" si="4"/>
        <v>Fremia</v>
      </c>
      <c r="C27" t="str">
        <f t="shared" si="2"/>
        <v>Akademikerförbunden</v>
      </c>
      <c r="D27" t="str">
        <f>"2025-03-31"</f>
        <v>2025-03-31</v>
      </c>
    </row>
    <row r="28" spans="1:4" x14ac:dyDescent="0.35">
      <c r="A28" t="str">
        <f>"Tjänstemannaavtal (anvisade tjänstemän)"</f>
        <v>Tjänstemannaavtal (anvisade tjänstemän)</v>
      </c>
      <c r="B28" t="str">
        <f t="shared" si="4"/>
        <v>Fremia</v>
      </c>
      <c r="C28" t="str">
        <f t="shared" si="2"/>
        <v>Akademikerförbunden</v>
      </c>
      <c r="D28" t="str">
        <f>"2025-03-31"</f>
        <v>2025-03-31</v>
      </c>
    </row>
    <row r="29" spans="1:4" x14ac:dyDescent="0.35">
      <c r="A29" t="str">
        <f>"Tjänstemän inom näringslivet"</f>
        <v>Tjänstemän inom näringslivet</v>
      </c>
      <c r="B29" t="str">
        <f t="shared" si="4"/>
        <v>Fremia</v>
      </c>
      <c r="C29" t="str">
        <f t="shared" si="2"/>
        <v>Akademikerförbunden</v>
      </c>
      <c r="D29" t="str">
        <f>"2025-03-31"</f>
        <v>2025-03-31</v>
      </c>
    </row>
    <row r="30" spans="1:4" x14ac:dyDescent="0.35">
      <c r="A30" t="str">
        <f>"Hyresgästföreningen"</f>
        <v>Hyresgästföreningen</v>
      </c>
      <c r="B30" t="str">
        <f t="shared" si="4"/>
        <v>Fremia</v>
      </c>
      <c r="C30" t="str">
        <f t="shared" si="2"/>
        <v>Akademikerförbunden</v>
      </c>
      <c r="D30" t="str">
        <f>"2025-09-30"</f>
        <v>2025-09-30</v>
      </c>
    </row>
    <row r="31" spans="1:4" x14ac:dyDescent="0.35">
      <c r="A31" t="str">
        <f>"Folkrörelseorganisationer"</f>
        <v>Folkrörelseorganisationer</v>
      </c>
      <c r="B31" t="str">
        <f t="shared" si="4"/>
        <v>Fremia</v>
      </c>
      <c r="C31" t="str">
        <f t="shared" si="2"/>
        <v>Akademikerförbunden</v>
      </c>
      <c r="D31" t="str">
        <f>"2025-09-30"</f>
        <v>2025-09-30</v>
      </c>
    </row>
    <row r="32" spans="1:4" x14ac:dyDescent="0.35">
      <c r="A32" t="str">
        <f>"Kompetensföretagens tjänstemannaavtal"</f>
        <v>Kompetensföretagens tjänstemannaavtal</v>
      </c>
      <c r="B32" t="str">
        <f>"Kompetensföretagen"</f>
        <v>Kompetensföretagen</v>
      </c>
      <c r="C32" t="str">
        <f t="shared" si="2"/>
        <v>Akademikerförbunden</v>
      </c>
      <c r="D32" t="str">
        <f>"2025-04-30"</f>
        <v>2025-04-30</v>
      </c>
    </row>
    <row r="33" spans="1:4" x14ac:dyDescent="0.35">
      <c r="A33" t="str">
        <f>"Tjänstemän i tjänste- och Medieföretag"</f>
        <v>Tjänstemän i tjänste- och Medieföretag</v>
      </c>
      <c r="B33" t="str">
        <f>"Medieföretagen"</f>
        <v>Medieföretagen</v>
      </c>
      <c r="C33" t="str">
        <f t="shared" si="2"/>
        <v>Akademikerförbunden</v>
      </c>
      <c r="D33" t="str">
        <f>"2025-04-30"</f>
        <v>2025-04-30</v>
      </c>
    </row>
    <row r="34" spans="1:4" x14ac:dyDescent="0.35">
      <c r="A34" t="str">
        <f>"Public Service med dotterbolag"</f>
        <v>Public Service med dotterbolag</v>
      </c>
      <c r="B34" t="str">
        <f>"Medieföretagen"</f>
        <v>Medieföretagen</v>
      </c>
      <c r="C34" t="str">
        <f t="shared" si="2"/>
        <v>Akademikerförbunden</v>
      </c>
      <c r="D34" t="str">
        <f>""</f>
        <v/>
      </c>
    </row>
    <row r="35" spans="1:4" x14ac:dyDescent="0.35">
      <c r="A35" t="str">
        <f>"Tjänstemän vid Systembolaget AB"</f>
        <v>Tjänstemän vid Systembolaget AB</v>
      </c>
      <c r="B35" t="str">
        <f>"Svensk Handel"</f>
        <v>Svensk Handel</v>
      </c>
      <c r="C35" t="str">
        <f t="shared" si="2"/>
        <v>Akademikerförbunden</v>
      </c>
      <c r="D35" t="str">
        <f>"2025-04-30"</f>
        <v>2025-04-30</v>
      </c>
    </row>
    <row r="36" spans="1:4" x14ac:dyDescent="0.35">
      <c r="A36" t="str">
        <f>"Handelns Tjänstemannaavtal"</f>
        <v>Handelns Tjänstemannaavtal</v>
      </c>
      <c r="B36" t="str">
        <f>"Svensk Handel"</f>
        <v>Svensk Handel</v>
      </c>
      <c r="C36" t="str">
        <f t="shared" si="2"/>
        <v>Akademikerförbunden</v>
      </c>
      <c r="D36" t="str">
        <f>"2025-04-30"</f>
        <v>2025-04-30</v>
      </c>
    </row>
    <row r="37" spans="1:4" x14ac:dyDescent="0.35">
      <c r="A37" t="str">
        <f>"Riksavtal för anställda vid offentligt finansierade teaterinstitutioner"</f>
        <v>Riksavtal för anställda vid offentligt finansierade teaterinstitutioner</v>
      </c>
      <c r="B37" t="str">
        <f>"Svensk Scenkonst"</f>
        <v>Svensk Scenkonst</v>
      </c>
      <c r="C37" t="str">
        <f t="shared" si="2"/>
        <v>Akademikerförbunden</v>
      </c>
      <c r="D37" t="str">
        <f>"2025-03-31"</f>
        <v>2025-03-31</v>
      </c>
    </row>
    <row r="38" spans="1:4" x14ac:dyDescent="0.35">
      <c r="A38" t="str">
        <f>"Riksavtal för tjänstemän vid A. Orkesterföretag mm samt B. Teater- och länsteaterföreningar mm"</f>
        <v>Riksavtal för tjänstemän vid A. Orkesterföretag mm samt B. Teater- och länsteaterföreningar mm</v>
      </c>
      <c r="B38" t="str">
        <f>"Svensk Scenkonst"</f>
        <v>Svensk Scenkonst</v>
      </c>
      <c r="C38" t="str">
        <f t="shared" si="2"/>
        <v>Akademikerförbunden</v>
      </c>
      <c r="D38" t="str">
        <f>"2025-03-31"</f>
        <v>2025-03-31</v>
      </c>
    </row>
    <row r="39" spans="1:4" x14ac:dyDescent="0.35">
      <c r="A39" t="str">
        <f>"Företagshälsovård"</f>
        <v>Företagshälsovård</v>
      </c>
      <c r="B39" t="str">
        <f>"Vårdföretagarna"</f>
        <v>Vårdföretagarna</v>
      </c>
      <c r="C39" t="str">
        <f t="shared" si="2"/>
        <v>Akademikerförbunden</v>
      </c>
      <c r="D39" t="str">
        <f>""</f>
        <v/>
      </c>
    </row>
    <row r="40" spans="1:4" x14ac:dyDescent="0.35">
      <c r="A40" t="str">
        <f>"Vård och behandlingsverksamhet samt omsorgsverksamhet"</f>
        <v>Vård och behandlingsverksamhet samt omsorgsverksamhet</v>
      </c>
      <c r="B40" t="str">
        <f>"Vårdföretagarna"</f>
        <v>Vårdföretagarna</v>
      </c>
      <c r="C40" t="str">
        <f t="shared" si="2"/>
        <v>Akademikerförbunden</v>
      </c>
      <c r="D40" t="str">
        <f>""</f>
        <v/>
      </c>
    </row>
    <row r="41" spans="1:4" x14ac:dyDescent="0.35">
      <c r="A41" t="str">
        <f>"Äldreomsorg"</f>
        <v>Äldreomsorg</v>
      </c>
      <c r="B41" t="str">
        <f>"Vårdföretagarna"</f>
        <v>Vårdföretagarna</v>
      </c>
      <c r="C41" t="str">
        <f t="shared" si="2"/>
        <v>Akademikerförbunden</v>
      </c>
      <c r="D41" t="str">
        <f>""</f>
        <v/>
      </c>
    </row>
    <row r="42" spans="1:4" x14ac:dyDescent="0.35">
      <c r="A42" t="str">
        <f>"K-avtalet (Tjänstemannaavtal)"</f>
        <v>K-avtalet (Tjänstemannaavtal)</v>
      </c>
      <c r="B42" t="str">
        <f>"Fastigo - Fastighetsbranschens Arbetsgivarorganisation"</f>
        <v>Fastigo - Fastighetsbranschens Arbetsgivarorganisation</v>
      </c>
      <c r="C42" t="str">
        <f>"Akademikerförbunden inom Fastigos avtalsområde, AiF"</f>
        <v>Akademikerförbunden inom Fastigos avtalsområde, AiF</v>
      </c>
      <c r="D42" t="str">
        <f>"2025-03-31"</f>
        <v>2025-03-31</v>
      </c>
    </row>
    <row r="43" spans="1:4" x14ac:dyDescent="0.35">
      <c r="A43" t="str">
        <f>"I-avtalet (Tjänstemannaavtal)"</f>
        <v>I-avtalet (Tjänstemannaavtal)</v>
      </c>
      <c r="B43" t="str">
        <f>"Fastigo - Fastighetsbranschens Arbetsgivarorganisation"</f>
        <v>Fastigo - Fastighetsbranschens Arbetsgivarorganisation</v>
      </c>
      <c r="C43" t="str">
        <f>"Akademikerförbunden inom Fastigos avtalsområde, AiF"</f>
        <v>Akademikerförbunden inom Fastigos avtalsområde, AiF</v>
      </c>
      <c r="D43" t="str">
        <f>"2025-03-31"</f>
        <v>2025-03-31</v>
      </c>
    </row>
    <row r="44" spans="1:4" x14ac:dyDescent="0.35">
      <c r="A44" t="str">
        <f>"BEA"</f>
        <v>BEA</v>
      </c>
      <c r="B44" t="str">
        <f>"SKR - Sveriges Kommuner och Regioner"</f>
        <v>SKR - Sveriges Kommuner och Regioner</v>
      </c>
      <c r="C44" t="str">
        <f t="shared" ref="C44:C54" si="5">"Akademikerförbundet SSR"</f>
        <v>Akademikerförbundet SSR</v>
      </c>
      <c r="D44" t="str">
        <f>""</f>
        <v/>
      </c>
    </row>
    <row r="45" spans="1:4" x14ac:dyDescent="0.35">
      <c r="A45" t="str">
        <f>"OFR - Allmän Kommunal verksamhet"</f>
        <v>OFR - Allmän Kommunal verksamhet</v>
      </c>
      <c r="B45" t="str">
        <f>"SKR - Sveriges Kommuner och Regioner"</f>
        <v>SKR - Sveriges Kommuner och Regioner</v>
      </c>
      <c r="C45" t="str">
        <f t="shared" si="5"/>
        <v>Akademikerförbundet SSR</v>
      </c>
      <c r="D45" t="str">
        <f>"2025-03-31"</f>
        <v>2025-03-31</v>
      </c>
    </row>
    <row r="46" spans="1:4" x14ac:dyDescent="0.35">
      <c r="A46" t="str">
        <f>"BEA"</f>
        <v>BEA</v>
      </c>
      <c r="B46" t="str">
        <f t="shared" ref="B46:B53" si="6">"Sobona"</f>
        <v>Sobona</v>
      </c>
      <c r="C46" t="str">
        <f t="shared" si="5"/>
        <v>Akademikerförbundet SSR</v>
      </c>
      <c r="D46" t="str">
        <f>""</f>
        <v/>
      </c>
    </row>
    <row r="47" spans="1:4" x14ac:dyDescent="0.35">
      <c r="A47" t="str">
        <f>"BÖK Trafik"</f>
        <v>BÖK Trafik</v>
      </c>
      <c r="B47" t="str">
        <f t="shared" si="6"/>
        <v>Sobona</v>
      </c>
      <c r="C47" t="str">
        <f t="shared" si="5"/>
        <v>Akademikerförbundet SSR</v>
      </c>
      <c r="D47" t="str">
        <f>"2025-09-30"</f>
        <v>2025-09-30</v>
      </c>
    </row>
    <row r="48" spans="1:4" x14ac:dyDescent="0.35">
      <c r="A48" t="str">
        <f>"OFR - Allmän Kommunal verksamhet"</f>
        <v>OFR - Allmän Kommunal verksamhet</v>
      </c>
      <c r="B48" t="str">
        <f t="shared" si="6"/>
        <v>Sobona</v>
      </c>
      <c r="C48" t="str">
        <f t="shared" si="5"/>
        <v>Akademikerförbundet SSR</v>
      </c>
      <c r="D48" t="str">
        <f t="shared" ref="D48:D53" si="7">"2025-03-31"</f>
        <v>2025-03-31</v>
      </c>
    </row>
    <row r="49" spans="1:4" x14ac:dyDescent="0.35">
      <c r="A49" t="str">
        <f>"BÖK Besöksnäring och Kulturarv"</f>
        <v>BÖK Besöksnäring och Kulturarv</v>
      </c>
      <c r="B49" t="str">
        <f t="shared" si="6"/>
        <v>Sobona</v>
      </c>
      <c r="C49" t="str">
        <f t="shared" si="5"/>
        <v>Akademikerförbundet SSR</v>
      </c>
      <c r="D49" t="str">
        <f t="shared" si="7"/>
        <v>2025-03-31</v>
      </c>
    </row>
    <row r="50" spans="1:4" x14ac:dyDescent="0.35">
      <c r="A50" t="str">
        <f>"BÖK Vatten &amp; Miljö"</f>
        <v>BÖK Vatten &amp; Miljö</v>
      </c>
      <c r="B50" t="str">
        <f t="shared" si="6"/>
        <v>Sobona</v>
      </c>
      <c r="C50" t="str">
        <f t="shared" si="5"/>
        <v>Akademikerförbundet SSR</v>
      </c>
      <c r="D50" t="str">
        <f t="shared" si="7"/>
        <v>2025-03-31</v>
      </c>
    </row>
    <row r="51" spans="1:4" x14ac:dyDescent="0.35">
      <c r="A51" t="str">
        <f>"BÖK Flygplatser"</f>
        <v>BÖK Flygplatser</v>
      </c>
      <c r="B51" t="str">
        <f t="shared" si="6"/>
        <v>Sobona</v>
      </c>
      <c r="C51" t="str">
        <f t="shared" si="5"/>
        <v>Akademikerförbundet SSR</v>
      </c>
      <c r="D51" t="str">
        <f t="shared" si="7"/>
        <v>2025-03-31</v>
      </c>
    </row>
    <row r="52" spans="1:4" x14ac:dyDescent="0.35">
      <c r="A52" t="str">
        <f>"BÖK Energi"</f>
        <v>BÖK Energi</v>
      </c>
      <c r="B52" t="str">
        <f t="shared" si="6"/>
        <v>Sobona</v>
      </c>
      <c r="C52" t="str">
        <f t="shared" si="5"/>
        <v>Akademikerförbundet SSR</v>
      </c>
      <c r="D52" t="str">
        <f t="shared" si="7"/>
        <v>2025-03-31</v>
      </c>
    </row>
    <row r="53" spans="1:4" x14ac:dyDescent="0.35">
      <c r="A53" t="str">
        <f>"BÖK Fastigheter"</f>
        <v>BÖK Fastigheter</v>
      </c>
      <c r="B53" t="str">
        <f t="shared" si="6"/>
        <v>Sobona</v>
      </c>
      <c r="C53" t="str">
        <f t="shared" si="5"/>
        <v>Akademikerförbundet SSR</v>
      </c>
      <c r="D53" t="str">
        <f t="shared" si="7"/>
        <v>2025-03-31</v>
      </c>
    </row>
    <row r="54" spans="1:4" x14ac:dyDescent="0.35">
      <c r="A54" t="str">
        <f>"Svenska Kyrkan"</f>
        <v>Svenska Kyrkan</v>
      </c>
      <c r="B54" t="str">
        <f>"Svenska Kyrkan"</f>
        <v>Svenska Kyrkan</v>
      </c>
      <c r="C54" t="str">
        <f t="shared" si="5"/>
        <v>Akademikerförbundet SSR</v>
      </c>
      <c r="D54" t="str">
        <f>"2025-04-30"</f>
        <v>2025-04-30</v>
      </c>
    </row>
    <row r="55" spans="1:4" x14ac:dyDescent="0.35">
      <c r="A55" t="str">
        <f>"Kommunikation"</f>
        <v>Kommunikation</v>
      </c>
      <c r="B55" t="str">
        <f>"Almega Tjänsteförbunden"</f>
        <v>Almega Tjänsteförbunden</v>
      </c>
      <c r="C55" t="str">
        <f t="shared" ref="C55:C61" si="8">"Akavia"</f>
        <v>Akavia</v>
      </c>
      <c r="D55" t="str">
        <f>"2025-07-31"</f>
        <v>2025-07-31</v>
      </c>
    </row>
    <row r="56" spans="1:4" x14ac:dyDescent="0.35">
      <c r="A56" t="str">
        <f>"Juristavtalet - advokat- och juristbyråer"</f>
        <v>Juristavtalet - advokat- och juristbyråer</v>
      </c>
      <c r="B56" t="str">
        <f>"Almega Tjänsteföretagen"</f>
        <v>Almega Tjänsteföretagen</v>
      </c>
      <c r="C56" t="str">
        <f t="shared" si="8"/>
        <v>Akavia</v>
      </c>
      <c r="D56" t="str">
        <f>"2025-04-30"</f>
        <v>2025-04-30</v>
      </c>
    </row>
    <row r="57" spans="1:4" x14ac:dyDescent="0.35">
      <c r="A57" t="str">
        <f>"Akademikeravtal"</f>
        <v>Akademikeravtal</v>
      </c>
      <c r="B57" t="str">
        <f>"BAO - Bankinstitutens Arbetsgivareorganisation"</f>
        <v>BAO - Bankinstitutens Arbetsgivareorganisation</v>
      </c>
      <c r="C57" t="str">
        <f t="shared" si="8"/>
        <v>Akavia</v>
      </c>
      <c r="D57" t="str">
        <f>""</f>
        <v/>
      </c>
    </row>
    <row r="58" spans="1:4" x14ac:dyDescent="0.35">
      <c r="A58" t="str">
        <f>"Akademiker i försäkringsbranschen"</f>
        <v>Akademiker i försäkringsbranschen</v>
      </c>
      <c r="B58" t="str">
        <f>"FAO - Försäkringsbranschens Arbetsgivareorganisation"</f>
        <v>FAO - Försäkringsbranschens Arbetsgivareorganisation</v>
      </c>
      <c r="C58" t="str">
        <f t="shared" si="8"/>
        <v>Akavia</v>
      </c>
      <c r="D58" t="str">
        <f>"2024-03-31"</f>
        <v>2024-03-31</v>
      </c>
    </row>
    <row r="59" spans="1:4" x14ac:dyDescent="0.35">
      <c r="A59" t="str">
        <f>"Svenska Kyrkan"</f>
        <v>Svenska Kyrkan</v>
      </c>
      <c r="B59" t="str">
        <f>"Svenska Kyrkan"</f>
        <v>Svenska Kyrkan</v>
      </c>
      <c r="C59" t="str">
        <f t="shared" si="8"/>
        <v>Akavia</v>
      </c>
      <c r="D59" t="str">
        <f>"2025-04-30"</f>
        <v>2025-04-30</v>
      </c>
    </row>
    <row r="60" spans="1:4" x14ac:dyDescent="0.35">
      <c r="A60" t="str">
        <f>"IT-branschen"</f>
        <v>IT-branschen</v>
      </c>
      <c r="B60" t="str">
        <f>"TechSverige"</f>
        <v>TechSverige</v>
      </c>
      <c r="C60" t="str">
        <f t="shared" si="8"/>
        <v>Akavia</v>
      </c>
      <c r="D60" t="str">
        <f>"2025-03-31"</f>
        <v>2025-03-31</v>
      </c>
    </row>
    <row r="61" spans="1:4" x14ac:dyDescent="0.35">
      <c r="A61" t="str">
        <f>"Telekom"</f>
        <v>Telekom</v>
      </c>
      <c r="B61" t="str">
        <f>"TechSverige"</f>
        <v>TechSverige</v>
      </c>
      <c r="C61" t="str">
        <f t="shared" si="8"/>
        <v>Akavia</v>
      </c>
      <c r="D61" t="str">
        <f>"2025-03-31"</f>
        <v>2025-03-31</v>
      </c>
    </row>
    <row r="62" spans="1:4" x14ac:dyDescent="0.35">
      <c r="A62" t="str">
        <f>"RiB"</f>
        <v>RiB</v>
      </c>
      <c r="B62" t="str">
        <f>"SKR - Sveriges Kommuner och Regioner"</f>
        <v>SKR - Sveriges Kommuner och Regioner</v>
      </c>
      <c r="C62" t="str">
        <f>"Brandmännens Riksförbund"</f>
        <v>Brandmännens Riksförbund</v>
      </c>
      <c r="D62" t="str">
        <f>"2024-04-30"</f>
        <v>2024-04-30</v>
      </c>
    </row>
    <row r="63" spans="1:4" x14ac:dyDescent="0.35">
      <c r="A63" t="str">
        <f>"RiB"</f>
        <v>RiB</v>
      </c>
      <c r="B63" t="str">
        <f>"Sobona"</f>
        <v>Sobona</v>
      </c>
      <c r="C63" t="str">
        <f>"Brandmännens Riksförbund"</f>
        <v>Brandmännens Riksförbund</v>
      </c>
      <c r="D63" t="str">
        <f>"2024-04-30"</f>
        <v>2024-04-30</v>
      </c>
    </row>
    <row r="64" spans="1:4" x14ac:dyDescent="0.35">
      <c r="A64" t="str">
        <f>"Media - Kommunikation - Kreativa näringar"</f>
        <v>Media - Kommunikation - Kreativa näringar</v>
      </c>
      <c r="B64" t="str">
        <f>"Fremia"</f>
        <v>Fremia</v>
      </c>
      <c r="C64" t="str">
        <f>"Fackförbundet DIK"</f>
        <v>Fackförbundet DIK</v>
      </c>
      <c r="D64" t="str">
        <f>""</f>
        <v/>
      </c>
    </row>
    <row r="65" spans="1:4" x14ac:dyDescent="0.35">
      <c r="A65" t="str">
        <f>"Kommunikation"</f>
        <v>Kommunikation</v>
      </c>
      <c r="B65" t="str">
        <f>"Almega Tjänsteförbunden"</f>
        <v>Almega Tjänsteförbunden</v>
      </c>
      <c r="C65" t="str">
        <f>"Fackförbundet ST"</f>
        <v>Fackförbundet ST</v>
      </c>
      <c r="D65" t="str">
        <f>"2025-07-31"</f>
        <v>2025-07-31</v>
      </c>
    </row>
    <row r="66" spans="1:4" x14ac:dyDescent="0.35">
      <c r="A66" t="str">
        <f>"Järnvägsinfrastruktur"</f>
        <v>Järnvägsinfrastruktur</v>
      </c>
      <c r="B66" t="str">
        <f>"Almega Tjänsteförbunden"</f>
        <v>Almega Tjänsteförbunden</v>
      </c>
      <c r="C66" t="str">
        <f>"Fackförbundet ST"</f>
        <v>Fackförbundet ST</v>
      </c>
      <c r="D66" t="str">
        <f>"2025-04-30"</f>
        <v>2025-04-30</v>
      </c>
    </row>
    <row r="67" spans="1:4" x14ac:dyDescent="0.35">
      <c r="A67" t="str">
        <f>"Högskola"</f>
        <v>Högskola</v>
      </c>
      <c r="B67" t="str">
        <f>"Arbetsgivaralliansen"</f>
        <v>Arbetsgivaralliansen</v>
      </c>
      <c r="C67" t="str">
        <f>"Fackförbundet ST"</f>
        <v>Fackförbundet ST</v>
      </c>
      <c r="D67" t="str">
        <f>"2025-06-30"</f>
        <v>2025-06-30</v>
      </c>
    </row>
    <row r="68" spans="1:4" x14ac:dyDescent="0.35">
      <c r="A68" t="str">
        <f>"Spårtrafik"</f>
        <v>Spårtrafik</v>
      </c>
      <c r="B68" t="str">
        <f>"Tågföretagen"</f>
        <v>Tågföretagen</v>
      </c>
      <c r="C68" t="str">
        <f>"Fackförbundet ST"</f>
        <v>Fackförbundet ST</v>
      </c>
      <c r="D68" t="str">
        <f>"2025-04-30"</f>
        <v>2025-04-30</v>
      </c>
    </row>
    <row r="69" spans="1:4" x14ac:dyDescent="0.35">
      <c r="A69" t="str">
        <f>"Specialserviceföretag"</f>
        <v>Specialserviceföretag</v>
      </c>
      <c r="B69" t="str">
        <f>"Almega Tjänsteförbunden"</f>
        <v>Almega Tjänsteförbunden</v>
      </c>
      <c r="C69" t="str">
        <f t="shared" ref="C69:C82" si="9">"Fastighetsanställdas Förbund"</f>
        <v>Fastighetsanställdas Förbund</v>
      </c>
      <c r="D69" t="str">
        <f>"2025-03-31"</f>
        <v>2025-03-31</v>
      </c>
    </row>
    <row r="70" spans="1:4" x14ac:dyDescent="0.35">
      <c r="A70" t="str">
        <f>"Fastigheter"</f>
        <v>Fastigheter</v>
      </c>
      <c r="B70" t="str">
        <f>"Almega Tjänsteförbunden"</f>
        <v>Almega Tjänsteförbunden</v>
      </c>
      <c r="C70" t="str">
        <f t="shared" si="9"/>
        <v>Fastighetsanställdas Förbund</v>
      </c>
      <c r="D70" t="str">
        <f>"2025-03-31"</f>
        <v>2025-03-31</v>
      </c>
    </row>
    <row r="71" spans="1:4" x14ac:dyDescent="0.35">
      <c r="A71" t="str">
        <f>"Serviceentreprenad"</f>
        <v>Serviceentreprenad</v>
      </c>
      <c r="B71" t="str">
        <f>"Almega Tjänsteförbunden"</f>
        <v>Almega Tjänsteförbunden</v>
      </c>
      <c r="C71" t="str">
        <f t="shared" si="9"/>
        <v>Fastighetsanställdas Förbund</v>
      </c>
      <c r="D71" t="str">
        <f>"2025-05-31"</f>
        <v>2025-05-31</v>
      </c>
    </row>
    <row r="72" spans="1:4" x14ac:dyDescent="0.35">
      <c r="A72" t="str">
        <f>"Fönsterputsningsföretag och andra serviceföretag"</f>
        <v>Fönsterputsningsföretag och andra serviceföretag</v>
      </c>
      <c r="B72" t="str">
        <f>"Almega Tjänsteförbunden"</f>
        <v>Almega Tjänsteförbunden</v>
      </c>
      <c r="C72" t="str">
        <f t="shared" si="9"/>
        <v>Fastighetsanställdas Förbund</v>
      </c>
      <c r="D72" t="str">
        <f>"2025-10-31"</f>
        <v>2025-10-31</v>
      </c>
    </row>
    <row r="73" spans="1:4" x14ac:dyDescent="0.35">
      <c r="A73" t="str">
        <f>"Städning i egen regi"</f>
        <v>Städning i egen regi</v>
      </c>
      <c r="B73" t="str">
        <f>"Almega Tjänsteföretagen"</f>
        <v>Almega Tjänsteföretagen</v>
      </c>
      <c r="C73" t="str">
        <f t="shared" si="9"/>
        <v>Fastighetsanställdas Förbund</v>
      </c>
      <c r="D73" t="str">
        <f>"2025-10-31"</f>
        <v>2025-10-31</v>
      </c>
    </row>
    <row r="74" spans="1:4" x14ac:dyDescent="0.35">
      <c r="A74" t="str">
        <f>"Ideella och idéburna organisationer"</f>
        <v>Ideella och idéburna organisationer</v>
      </c>
      <c r="B74" t="str">
        <f>"Arbetsgivaralliansen"</f>
        <v>Arbetsgivaralliansen</v>
      </c>
      <c r="C74" t="str">
        <f t="shared" si="9"/>
        <v>Fastighetsanställdas Förbund</v>
      </c>
      <c r="D74" t="str">
        <f>"2025-04-30"</f>
        <v>2025-04-30</v>
      </c>
    </row>
    <row r="75" spans="1:4" x14ac:dyDescent="0.35">
      <c r="A75" t="str">
        <f>"Idrottsavtalet"</f>
        <v>Idrottsavtalet</v>
      </c>
      <c r="B75" t="str">
        <f>"Arbetsgivaralliansen"</f>
        <v>Arbetsgivaralliansen</v>
      </c>
      <c r="C75" t="str">
        <f t="shared" si="9"/>
        <v>Fastighetsanställdas Förbund</v>
      </c>
      <c r="D75" t="str">
        <f>"2025-10-31"</f>
        <v>2025-10-31</v>
      </c>
    </row>
    <row r="76" spans="1:4" x14ac:dyDescent="0.35">
      <c r="A76" t="str">
        <f>"F-avtalet"</f>
        <v>F-avtalet</v>
      </c>
      <c r="B76" t="str">
        <f>"Fastigo - Fastighetsbranschens Arbetsgivarorganisation"</f>
        <v>Fastigo - Fastighetsbranschens Arbetsgivarorganisation</v>
      </c>
      <c r="C76" t="str">
        <f t="shared" si="9"/>
        <v>Fastighetsanställdas Förbund</v>
      </c>
      <c r="D76" t="str">
        <f>"2025-03-31"</f>
        <v>2025-03-31</v>
      </c>
    </row>
    <row r="77" spans="1:4" x14ac:dyDescent="0.35">
      <c r="A77" t="str">
        <f>"F-avtalet"</f>
        <v>F-avtalet</v>
      </c>
      <c r="B77" t="str">
        <f>"Fremia"</f>
        <v>Fremia</v>
      </c>
      <c r="C77" t="str">
        <f t="shared" si="9"/>
        <v>Fastighetsanställdas Förbund</v>
      </c>
      <c r="D77" t="str">
        <f>"2025-03-31"</f>
        <v>2025-03-31</v>
      </c>
    </row>
    <row r="78" spans="1:4" x14ac:dyDescent="0.35">
      <c r="A78" t="str">
        <f>"Folkets Hus och Parker"</f>
        <v>Folkets Hus och Parker</v>
      </c>
      <c r="B78" t="str">
        <f>"Fremia"</f>
        <v>Fremia</v>
      </c>
      <c r="C78" t="str">
        <f t="shared" si="9"/>
        <v>Fastighetsanställdas Förbund</v>
      </c>
      <c r="D78" t="str">
        <f>"2025-03-31"</f>
        <v>2025-03-31</v>
      </c>
    </row>
    <row r="79" spans="1:4" x14ac:dyDescent="0.35">
      <c r="A79" t="str">
        <f>"Samhall LO-förbund"</f>
        <v>Samhall LO-förbund</v>
      </c>
      <c r="B79" t="str">
        <f>"Fremia"</f>
        <v>Fremia</v>
      </c>
      <c r="C79" t="str">
        <f t="shared" si="9"/>
        <v>Fastighetsanställdas Förbund</v>
      </c>
      <c r="D79" t="str">
        <f>"2025-09-30"</f>
        <v>2025-09-30</v>
      </c>
    </row>
    <row r="80" spans="1:4" x14ac:dyDescent="0.35">
      <c r="A80" t="str">
        <f>"Bemanningsavtalet"</f>
        <v>Bemanningsavtalet</v>
      </c>
      <c r="B80" t="str">
        <f>"Kompetensföretagen"</f>
        <v>Kompetensföretagen</v>
      </c>
      <c r="C80" t="str">
        <f t="shared" si="9"/>
        <v>Fastighetsanställdas Förbund</v>
      </c>
      <c r="D80" t="str">
        <f>"2025-04-30"</f>
        <v>2025-04-30</v>
      </c>
    </row>
    <row r="81" spans="1:4" x14ac:dyDescent="0.35">
      <c r="A81" t="str">
        <f>"BÖK Fastigheter"</f>
        <v>BÖK Fastigheter</v>
      </c>
      <c r="B81" t="str">
        <f>"Sobona"</f>
        <v>Sobona</v>
      </c>
      <c r="C81" t="str">
        <f t="shared" si="9"/>
        <v>Fastighetsanställdas Förbund</v>
      </c>
      <c r="D81" t="str">
        <f>"2025-03-31"</f>
        <v>2025-03-31</v>
      </c>
    </row>
    <row r="82" spans="1:4" x14ac:dyDescent="0.35">
      <c r="A82" t="str">
        <f>"Städning i egen regi"</f>
        <v>Städning i egen regi</v>
      </c>
      <c r="B82" t="str">
        <f>"Vårdföretagarna"</f>
        <v>Vårdföretagarna</v>
      </c>
      <c r="C82" t="str">
        <f t="shared" si="9"/>
        <v>Fastighetsanställdas Förbund</v>
      </c>
      <c r="D82" t="str">
        <f>"2025-10-31"</f>
        <v>2025-10-31</v>
      </c>
    </row>
    <row r="83" spans="1:4" x14ac:dyDescent="0.35">
      <c r="A83" t="str">
        <f>"Bankanställda"</f>
        <v>Bankanställda</v>
      </c>
      <c r="B83" t="str">
        <f>"BAO - Bankinstitutens Arbetsgivareorganisation"</f>
        <v>BAO - Bankinstitutens Arbetsgivareorganisation</v>
      </c>
      <c r="C83" t="str">
        <f>"Finansförbundet"</f>
        <v>Finansförbundet</v>
      </c>
      <c r="D83" t="str">
        <f>""</f>
        <v/>
      </c>
    </row>
    <row r="84" spans="1:4" x14ac:dyDescent="0.35">
      <c r="A84" t="str">
        <f>"Tjänstemän i försäkringsbranschen"</f>
        <v>Tjänstemän i försäkringsbranschen</v>
      </c>
      <c r="B84" t="str">
        <f>"FAO - Försäkringsbranschens Arbetsgivareorganisation"</f>
        <v>FAO - Försäkringsbranschens Arbetsgivareorganisation</v>
      </c>
      <c r="C84" t="str">
        <f>"Forena"</f>
        <v>Forena</v>
      </c>
      <c r="D84" t="str">
        <f>"2025-03-31"</f>
        <v>2025-03-31</v>
      </c>
    </row>
    <row r="85" spans="1:4" x14ac:dyDescent="0.35">
      <c r="A85" t="str">
        <f>"Folksam"</f>
        <v>Folksam</v>
      </c>
      <c r="B85" t="str">
        <f>"Fremia"</f>
        <v>Fremia</v>
      </c>
      <c r="C85" t="str">
        <f>"Forena"</f>
        <v>Forena</v>
      </c>
      <c r="D85" t="str">
        <f>"2024-12-31"</f>
        <v>2024-12-31</v>
      </c>
    </row>
    <row r="86" spans="1:4" x14ac:dyDescent="0.35">
      <c r="A86" t="str">
        <f>"LO-TCO Rättsskydd"</f>
        <v>LO-TCO Rättsskydd</v>
      </c>
      <c r="B86" t="str">
        <f>"Fremia"</f>
        <v>Fremia</v>
      </c>
      <c r="C86" t="str">
        <f>"Forena"</f>
        <v>Forena</v>
      </c>
      <c r="D86" t="str">
        <f>"2024-12-31"</f>
        <v>2024-12-31</v>
      </c>
    </row>
    <row r="87" spans="1:4" x14ac:dyDescent="0.35">
      <c r="A87" t="str">
        <f>"Träindustriavtalet"</f>
        <v>Träindustriavtalet</v>
      </c>
      <c r="B87" t="str">
        <f>"Fremia"</f>
        <v>Fremia</v>
      </c>
      <c r="C87" t="str">
        <f t="shared" ref="C87:C101" si="10">"GS Facket för skogs-, trä- och grafisk bransch"</f>
        <v>GS Facket för skogs-, trä- och grafisk bransch</v>
      </c>
      <c r="D87" t="str">
        <f>"2025-03-31"</f>
        <v>2025-03-31</v>
      </c>
    </row>
    <row r="88" spans="1:4" x14ac:dyDescent="0.35">
      <c r="A88" t="str">
        <f>"Skogsbruk"</f>
        <v>Skogsbruk</v>
      </c>
      <c r="B88" t="str">
        <f>"Fremia"</f>
        <v>Fremia</v>
      </c>
      <c r="C88" t="str">
        <f t="shared" si="10"/>
        <v>GS Facket för skogs-, trä- och grafisk bransch</v>
      </c>
      <c r="D88" t="str">
        <f>"2025-03-31"</f>
        <v>2025-03-31</v>
      </c>
    </row>
    <row r="89" spans="1:4" x14ac:dyDescent="0.35">
      <c r="A89" t="str">
        <f>"Samhall LO-förbund"</f>
        <v>Samhall LO-förbund</v>
      </c>
      <c r="B89" t="str">
        <f>"Fremia"</f>
        <v>Fremia</v>
      </c>
      <c r="C89" t="str">
        <f t="shared" si="10"/>
        <v>GS Facket för skogs-, trä- och grafisk bransch</v>
      </c>
      <c r="D89" t="str">
        <f>"2025-09-30"</f>
        <v>2025-09-30</v>
      </c>
    </row>
    <row r="90" spans="1:4" x14ac:dyDescent="0.35">
      <c r="A90" t="str">
        <f>"Infomediaavtal"</f>
        <v>Infomediaavtal</v>
      </c>
      <c r="B90" t="str">
        <f>"Grafiska Företagens Förbund"</f>
        <v>Grafiska Företagens Förbund</v>
      </c>
      <c r="C90" t="str">
        <f t="shared" si="10"/>
        <v>GS Facket för skogs-, trä- och grafisk bransch</v>
      </c>
      <c r="D90" t="str">
        <f>"2025-03-31"</f>
        <v>2025-03-31</v>
      </c>
    </row>
    <row r="91" spans="1:4" x14ac:dyDescent="0.35">
      <c r="A91" t="str">
        <f>"Förpackningsavtal"</f>
        <v>Förpackningsavtal</v>
      </c>
      <c r="B91" t="str">
        <f>"Grafiska Företagens Förbund"</f>
        <v>Grafiska Företagens Förbund</v>
      </c>
      <c r="C91" t="str">
        <f t="shared" si="10"/>
        <v>GS Facket för skogs-, trä- och grafisk bransch</v>
      </c>
      <c r="D91" t="str">
        <f>"2025-03-31"</f>
        <v>2025-03-31</v>
      </c>
    </row>
    <row r="92" spans="1:4" x14ac:dyDescent="0.35">
      <c r="A92" t="str">
        <f>"Virkesmätning"</f>
        <v>Virkesmätning</v>
      </c>
      <c r="B92" t="str">
        <f>"Gröna arbetsgivare"</f>
        <v>Gröna arbetsgivare</v>
      </c>
      <c r="C92" t="str">
        <f t="shared" si="10"/>
        <v>GS Facket för skogs-, trä- och grafisk bransch</v>
      </c>
      <c r="D92" t="str">
        <f>"2025-03-31"</f>
        <v>2025-03-31</v>
      </c>
    </row>
    <row r="93" spans="1:4" x14ac:dyDescent="0.35">
      <c r="A93" t="str">
        <f>"Skogsbruk"</f>
        <v>Skogsbruk</v>
      </c>
      <c r="B93" t="str">
        <f>"Gröna arbetsgivare"</f>
        <v>Gröna arbetsgivare</v>
      </c>
      <c r="C93" t="str">
        <f t="shared" si="10"/>
        <v>GS Facket för skogs-, trä- och grafisk bransch</v>
      </c>
      <c r="D93" t="str">
        <f>"2025-03-31"</f>
        <v>2025-03-31</v>
      </c>
    </row>
    <row r="94" spans="1:4" x14ac:dyDescent="0.35">
      <c r="A94" t="str">
        <f>"Sågverksindustri"</f>
        <v>Sågverksindustri</v>
      </c>
      <c r="B94" t="str">
        <f>"Industriarbetsgivarna (Skogsindustrier)"</f>
        <v>Industriarbetsgivarna (Skogsindustrier)</v>
      </c>
      <c r="C94" t="str">
        <f t="shared" si="10"/>
        <v>GS Facket för skogs-, trä- och grafisk bransch</v>
      </c>
      <c r="D94" t="str">
        <f>"2025-03-31"</f>
        <v>2025-03-31</v>
      </c>
    </row>
    <row r="95" spans="1:4" x14ac:dyDescent="0.35">
      <c r="A95" t="str">
        <f>"Bemanningsavtalet"</f>
        <v>Bemanningsavtalet</v>
      </c>
      <c r="B95" t="str">
        <f>"Kompetensföretagen"</f>
        <v>Kompetensföretagen</v>
      </c>
      <c r="C95" t="str">
        <f t="shared" si="10"/>
        <v>GS Facket för skogs-, trä- och grafisk bransch</v>
      </c>
      <c r="D95" t="str">
        <f>"2025-04-30"</f>
        <v>2025-04-30</v>
      </c>
    </row>
    <row r="96" spans="1:4" x14ac:dyDescent="0.35">
      <c r="A96" t="str">
        <f>"Grafikeravtal"</f>
        <v>Grafikeravtal</v>
      </c>
      <c r="B96" t="str">
        <f>"Medieföretagen"</f>
        <v>Medieföretagen</v>
      </c>
      <c r="C96" t="str">
        <f t="shared" si="10"/>
        <v>GS Facket för skogs-, trä- och grafisk bransch</v>
      </c>
      <c r="D96" t="str">
        <f>"2023-04-30"</f>
        <v>2023-04-30</v>
      </c>
    </row>
    <row r="97" spans="1:4" x14ac:dyDescent="0.35">
      <c r="A97" t="str">
        <f>"Tidningsavtalet"</f>
        <v>Tidningsavtalet</v>
      </c>
      <c r="B97" t="str">
        <f>"Medieföretagen"</f>
        <v>Medieföretagen</v>
      </c>
      <c r="C97" t="str">
        <f t="shared" si="10"/>
        <v>GS Facket för skogs-, trä- och grafisk bransch</v>
      </c>
      <c r="D97" t="str">
        <f>"2025-04-30"</f>
        <v>2025-04-30</v>
      </c>
    </row>
    <row r="98" spans="1:4" x14ac:dyDescent="0.35">
      <c r="A98" t="str">
        <f>"Trävaruhandel"</f>
        <v>Trävaruhandel</v>
      </c>
      <c r="B98" t="str">
        <f>"Svensk Handel"</f>
        <v>Svensk Handel</v>
      </c>
      <c r="C98" t="str">
        <f t="shared" si="10"/>
        <v>GS Facket för skogs-, trä- och grafisk bransch</v>
      </c>
      <c r="D98" t="str">
        <f>"2025-04-30"</f>
        <v>2025-04-30</v>
      </c>
    </row>
    <row r="99" spans="1:4" x14ac:dyDescent="0.35">
      <c r="A99" t="str">
        <f>"Skogsavtal"</f>
        <v>Skogsavtal</v>
      </c>
      <c r="B99" t="str">
        <f>"Svenska Kyrkan"</f>
        <v>Svenska Kyrkan</v>
      </c>
      <c r="C99" t="str">
        <f t="shared" si="10"/>
        <v>GS Facket för skogs-, trä- och grafisk bransch</v>
      </c>
      <c r="D99" t="str">
        <f>"2025-04-30"</f>
        <v>2025-04-30</v>
      </c>
    </row>
    <row r="100" spans="1:4" x14ac:dyDescent="0.35">
      <c r="A100" t="str">
        <f>"Stoppmöbelindustri"</f>
        <v>Stoppmöbelindustri</v>
      </c>
      <c r="B100" t="str">
        <f>"Trä- och Möbelföretagen"</f>
        <v>Trä- och Möbelföretagen</v>
      </c>
      <c r="C100" t="str">
        <f t="shared" si="10"/>
        <v>GS Facket för skogs-, trä- och grafisk bransch</v>
      </c>
      <c r="D100" t="str">
        <f>"2025-03-31"</f>
        <v>2025-03-31</v>
      </c>
    </row>
    <row r="101" spans="1:4" x14ac:dyDescent="0.35">
      <c r="A101" t="str">
        <f>"Träindustri"</f>
        <v>Träindustri</v>
      </c>
      <c r="B101" t="str">
        <f>"Trä- och Möbelföretagen"</f>
        <v>Trä- och Möbelföretagen</v>
      </c>
      <c r="C101" t="str">
        <f t="shared" si="10"/>
        <v>GS Facket för skogs-, trä- och grafisk bransch</v>
      </c>
      <c r="D101" t="str">
        <f>"2025-03-31"</f>
        <v>2025-03-31</v>
      </c>
    </row>
    <row r="102" spans="1:4" x14ac:dyDescent="0.35">
      <c r="A102" t="str">
        <f>"Lagring och Distribution"</f>
        <v>Lagring och Distribution</v>
      </c>
      <c r="B102" t="str">
        <f>"Almega Tjänsteförbunden"</f>
        <v>Almega Tjänsteförbunden</v>
      </c>
      <c r="C102" t="str">
        <f t="shared" ref="C102:C129" si="11">"Handelsanställdas förbund"</f>
        <v>Handelsanställdas förbund</v>
      </c>
      <c r="D102" t="str">
        <f>"2025-03-31"</f>
        <v>2025-03-31</v>
      </c>
    </row>
    <row r="103" spans="1:4" x14ac:dyDescent="0.35">
      <c r="A103" t="str">
        <f>"Fryshusföretag"</f>
        <v>Fryshusföretag</v>
      </c>
      <c r="B103" t="str">
        <f>"Almega Tjänsteföretagen"</f>
        <v>Almega Tjänsteföretagen</v>
      </c>
      <c r="C103" t="str">
        <f t="shared" si="11"/>
        <v>Handelsanställdas förbund</v>
      </c>
      <c r="D103" t="str">
        <f>"2025-03-31"</f>
        <v>2025-03-31</v>
      </c>
    </row>
    <row r="104" spans="1:4" x14ac:dyDescent="0.35">
      <c r="A104" t="str">
        <f>"Lagerpersonal och chaufförer"</f>
        <v>Lagerpersonal och chaufförer</v>
      </c>
      <c r="B104" t="str">
        <f>"Almega Tjänsteföretagen"</f>
        <v>Almega Tjänsteföretagen</v>
      </c>
      <c r="C104" t="str">
        <f t="shared" si="11"/>
        <v>Handelsanställdas förbund</v>
      </c>
      <c r="D104" t="str">
        <f>"2025-03-31"</f>
        <v>2025-03-31</v>
      </c>
    </row>
    <row r="105" spans="1:4" x14ac:dyDescent="0.35">
      <c r="A105" t="str">
        <f>"Folksam"</f>
        <v>Folksam</v>
      </c>
      <c r="B105" t="str">
        <f t="shared" ref="B105:B115" si="12">"Fremia"</f>
        <v>Fremia</v>
      </c>
      <c r="C105" t="str">
        <f t="shared" si="11"/>
        <v>Handelsanställdas förbund</v>
      </c>
      <c r="D105" t="str">
        <f>"2024-12-31"</f>
        <v>2024-12-31</v>
      </c>
    </row>
    <row r="106" spans="1:4" x14ac:dyDescent="0.35">
      <c r="A106" t="str">
        <f>"Butiker"</f>
        <v>Butiker</v>
      </c>
      <c r="B106" t="str">
        <f t="shared" si="12"/>
        <v>Fremia</v>
      </c>
      <c r="C106" t="str">
        <f t="shared" si="11"/>
        <v>Handelsanställdas förbund</v>
      </c>
      <c r="D106" t="str">
        <f>"2025-03-31"</f>
        <v>2025-03-31</v>
      </c>
    </row>
    <row r="107" spans="1:4" x14ac:dyDescent="0.35">
      <c r="A107" t="str">
        <f>"Stormarknad"</f>
        <v>Stormarknad</v>
      </c>
      <c r="B107" t="str">
        <f t="shared" si="12"/>
        <v>Fremia</v>
      </c>
      <c r="C107" t="str">
        <f t="shared" si="11"/>
        <v>Handelsanställdas förbund</v>
      </c>
      <c r="D107" t="str">
        <f>"2025-03-31"</f>
        <v>2025-03-31</v>
      </c>
    </row>
    <row r="108" spans="1:4" x14ac:dyDescent="0.35">
      <c r="A108" t="str">
        <f>"Lager, Terminal, Chaufförer"</f>
        <v>Lager, Terminal, Chaufförer</v>
      </c>
      <c r="B108" t="str">
        <f t="shared" si="12"/>
        <v>Fremia</v>
      </c>
      <c r="C108" t="str">
        <f t="shared" si="11"/>
        <v>Handelsanställdas förbund</v>
      </c>
      <c r="D108" t="str">
        <f>"2025-03-31"</f>
        <v>2025-03-31</v>
      </c>
    </row>
    <row r="109" spans="1:4" x14ac:dyDescent="0.35">
      <c r="A109" t="str">
        <f>"Lager- och logistikpersonal"</f>
        <v>Lager- och logistikpersonal</v>
      </c>
      <c r="B109" t="str">
        <f t="shared" si="12"/>
        <v>Fremia</v>
      </c>
      <c r="C109" t="str">
        <f t="shared" si="11"/>
        <v>Handelsanställdas förbund</v>
      </c>
      <c r="D109" t="str">
        <f>"2025-03-31"</f>
        <v>2025-03-31</v>
      </c>
    </row>
    <row r="110" spans="1:4" x14ac:dyDescent="0.35">
      <c r="A110" t="str">
        <f>"Tjänstemannaavtal inom handeln"</f>
        <v>Tjänstemannaavtal inom handeln</v>
      </c>
      <c r="B110" t="str">
        <f t="shared" si="12"/>
        <v>Fremia</v>
      </c>
      <c r="C110" t="str">
        <f t="shared" si="11"/>
        <v>Handelsanställdas förbund</v>
      </c>
      <c r="D110" t="str">
        <f>"2025-03-31"</f>
        <v>2025-03-31</v>
      </c>
    </row>
    <row r="111" spans="1:4" x14ac:dyDescent="0.35">
      <c r="A111" t="str">
        <f>"Folksam Telefonrådgivare"</f>
        <v>Folksam Telefonrådgivare</v>
      </c>
      <c r="B111" t="str">
        <f t="shared" si="12"/>
        <v>Fremia</v>
      </c>
      <c r="C111" t="str">
        <f t="shared" si="11"/>
        <v>Handelsanställdas förbund</v>
      </c>
      <c r="D111" t="str">
        <f>"2024-12-31"</f>
        <v>2024-12-31</v>
      </c>
    </row>
    <row r="112" spans="1:4" x14ac:dyDescent="0.35">
      <c r="A112" t="str">
        <f>"Samhall LO-förbund"</f>
        <v>Samhall LO-förbund</v>
      </c>
      <c r="B112" t="str">
        <f t="shared" si="12"/>
        <v>Fremia</v>
      </c>
      <c r="C112" t="str">
        <f t="shared" si="11"/>
        <v>Handelsanställdas förbund</v>
      </c>
      <c r="D112" t="str">
        <f>"2025-09-30"</f>
        <v>2025-09-30</v>
      </c>
    </row>
    <row r="113" spans="1:4" x14ac:dyDescent="0.35">
      <c r="A113" t="str">
        <f>"Folkrörelseavtal"</f>
        <v>Folkrörelseavtal</v>
      </c>
      <c r="B113" t="str">
        <f t="shared" si="12"/>
        <v>Fremia</v>
      </c>
      <c r="C113" t="str">
        <f t="shared" si="11"/>
        <v>Handelsanställdas förbund</v>
      </c>
      <c r="D113" t="str">
        <f>"2025-09-30"</f>
        <v>2025-09-30</v>
      </c>
    </row>
    <row r="114" spans="1:4" x14ac:dyDescent="0.35">
      <c r="A114" t="str">
        <f>"Hyresgästföreningen"</f>
        <v>Hyresgästföreningen</v>
      </c>
      <c r="B114" t="str">
        <f t="shared" si="12"/>
        <v>Fremia</v>
      </c>
      <c r="C114" t="str">
        <f t="shared" si="11"/>
        <v>Handelsanställdas förbund</v>
      </c>
      <c r="D114" t="str">
        <f>"2025-09-30"</f>
        <v>2025-09-30</v>
      </c>
    </row>
    <row r="115" spans="1:4" x14ac:dyDescent="0.35">
      <c r="A115" t="str">
        <f>"Second-hand verksamhet inom idéburen organisation"</f>
        <v>Second-hand verksamhet inom idéburen organisation</v>
      </c>
      <c r="B115" t="str">
        <f t="shared" si="12"/>
        <v>Fremia</v>
      </c>
      <c r="C115" t="str">
        <f t="shared" si="11"/>
        <v>Handelsanställdas förbund</v>
      </c>
      <c r="D115" t="str">
        <f>"2025-09-30"</f>
        <v>2025-09-30</v>
      </c>
    </row>
    <row r="116" spans="1:4" x14ac:dyDescent="0.35">
      <c r="A116" t="str">
        <f>"Detaljhandeln"</f>
        <v>Detaljhandeln</v>
      </c>
      <c r="B116" t="str">
        <f>"Glasbranschföreningen"</f>
        <v>Glasbranschföreningen</v>
      </c>
      <c r="C116" t="str">
        <f t="shared" si="11"/>
        <v>Handelsanställdas förbund</v>
      </c>
      <c r="D116" t="str">
        <f>"2025-03-31"</f>
        <v>2025-03-31</v>
      </c>
    </row>
    <row r="117" spans="1:4" x14ac:dyDescent="0.35">
      <c r="A117" t="str">
        <f>"Detaljhandelsavtal"</f>
        <v>Detaljhandelsavtal</v>
      </c>
      <c r="B117" t="str">
        <f>"Installatörsföretagen"</f>
        <v>Installatörsföretagen</v>
      </c>
      <c r="C117" t="str">
        <f t="shared" si="11"/>
        <v>Handelsanställdas förbund</v>
      </c>
      <c r="D117" t="str">
        <f>"2025-03-31"</f>
        <v>2025-03-31</v>
      </c>
    </row>
    <row r="118" spans="1:4" x14ac:dyDescent="0.35">
      <c r="A118" t="str">
        <f>"Lageravtal"</f>
        <v>Lageravtal</v>
      </c>
      <c r="B118" t="str">
        <f>"Installatörsföretagen"</f>
        <v>Installatörsföretagen</v>
      </c>
      <c r="C118" t="str">
        <f t="shared" si="11"/>
        <v>Handelsanställdas förbund</v>
      </c>
      <c r="D118" t="str">
        <f>"2025-03-31"</f>
        <v>2025-03-31</v>
      </c>
    </row>
    <row r="119" spans="1:4" x14ac:dyDescent="0.35">
      <c r="A119" t="str">
        <f>"Bemanningsavtalet"</f>
        <v>Bemanningsavtalet</v>
      </c>
      <c r="B119" t="str">
        <f>"Kompetensföretagen"</f>
        <v>Kompetensföretagen</v>
      </c>
      <c r="C119" t="str">
        <f t="shared" si="11"/>
        <v>Handelsanställdas förbund</v>
      </c>
      <c r="D119" t="str">
        <f>"2025-04-30"</f>
        <v>2025-04-30</v>
      </c>
    </row>
    <row r="120" spans="1:4" x14ac:dyDescent="0.35">
      <c r="A120" t="str">
        <f>"Butiksavtal"</f>
        <v>Butiksavtal</v>
      </c>
      <c r="B120" t="str">
        <f>"Livsmedelsföretagen"</f>
        <v>Livsmedelsföretagen</v>
      </c>
      <c r="C120" t="str">
        <f t="shared" si="11"/>
        <v>Handelsanställdas förbund</v>
      </c>
      <c r="D120" t="str">
        <f t="shared" ref="D120:D129" si="13">"2025-03-31"</f>
        <v>2025-03-31</v>
      </c>
    </row>
    <row r="121" spans="1:4" x14ac:dyDescent="0.35">
      <c r="A121" t="str">
        <f>"Äggförsäljning"</f>
        <v>Äggförsäljning</v>
      </c>
      <c r="B121" t="str">
        <f>"Livsmedelsföretagen"</f>
        <v>Livsmedelsföretagen</v>
      </c>
      <c r="C121" t="str">
        <f t="shared" si="11"/>
        <v>Handelsanställdas förbund</v>
      </c>
      <c r="D121" t="str">
        <f t="shared" si="13"/>
        <v>2025-03-31</v>
      </c>
    </row>
    <row r="122" spans="1:4" x14ac:dyDescent="0.35">
      <c r="A122" t="str">
        <f>"Ostföretag"</f>
        <v>Ostföretag</v>
      </c>
      <c r="B122" t="str">
        <f>"Livsmedelsföretagen"</f>
        <v>Livsmedelsföretagen</v>
      </c>
      <c r="C122" t="str">
        <f t="shared" si="11"/>
        <v>Handelsanställdas förbund</v>
      </c>
      <c r="D122" t="str">
        <f t="shared" si="13"/>
        <v>2025-03-31</v>
      </c>
    </row>
    <row r="123" spans="1:4" x14ac:dyDescent="0.35">
      <c r="A123" t="str">
        <f>"Lagerpersonal och chaufförer"</f>
        <v>Lagerpersonal och chaufförer</v>
      </c>
      <c r="B123" t="str">
        <f>"Medieföretagen"</f>
        <v>Medieföretagen</v>
      </c>
      <c r="C123" t="str">
        <f t="shared" si="11"/>
        <v>Handelsanställdas förbund</v>
      </c>
      <c r="D123" t="str">
        <f t="shared" si="13"/>
        <v>2025-03-31</v>
      </c>
    </row>
    <row r="124" spans="1:4" x14ac:dyDescent="0.35">
      <c r="A124" t="str">
        <f>"Detaljhandelsavtal"</f>
        <v>Detaljhandelsavtal</v>
      </c>
      <c r="B124" t="str">
        <f>"Svensk Handel"</f>
        <v>Svensk Handel</v>
      </c>
      <c r="C124" t="str">
        <f t="shared" si="11"/>
        <v>Handelsanställdas förbund</v>
      </c>
      <c r="D124" t="str">
        <f t="shared" si="13"/>
        <v>2025-03-31</v>
      </c>
    </row>
    <row r="125" spans="1:4" x14ac:dyDescent="0.35">
      <c r="A125" t="str">
        <f>"Lager och e-handel"</f>
        <v>Lager och e-handel</v>
      </c>
      <c r="B125" t="str">
        <f>"Svensk Handel"</f>
        <v>Svensk Handel</v>
      </c>
      <c r="C125" t="str">
        <f t="shared" si="11"/>
        <v>Handelsanställdas förbund</v>
      </c>
      <c r="D125" t="str">
        <f t="shared" si="13"/>
        <v>2025-03-31</v>
      </c>
    </row>
    <row r="126" spans="1:4" x14ac:dyDescent="0.35">
      <c r="A126" t="str">
        <f>"Lagerpersonal vid glassföretag"</f>
        <v>Lagerpersonal vid glassföretag</v>
      </c>
      <c r="B126" t="str">
        <f>"Svensk Handel"</f>
        <v>Svensk Handel</v>
      </c>
      <c r="C126" t="str">
        <f t="shared" si="11"/>
        <v>Handelsanställdas förbund</v>
      </c>
      <c r="D126" t="str">
        <f t="shared" si="13"/>
        <v>2025-03-31</v>
      </c>
    </row>
    <row r="127" spans="1:4" x14ac:dyDescent="0.35">
      <c r="A127" t="str">
        <f>"Städpersonal inom detaljhandeln"</f>
        <v>Städpersonal inom detaljhandeln</v>
      </c>
      <c r="B127" t="str">
        <f>"Svensk Handel"</f>
        <v>Svensk Handel</v>
      </c>
      <c r="C127" t="str">
        <f t="shared" si="11"/>
        <v>Handelsanställdas förbund</v>
      </c>
      <c r="D127" t="str">
        <f t="shared" si="13"/>
        <v>2025-03-31</v>
      </c>
    </row>
    <row r="128" spans="1:4" x14ac:dyDescent="0.35">
      <c r="A128" t="str">
        <f>"Frisöravtal"</f>
        <v>Frisöravtal</v>
      </c>
      <c r="B128" t="str">
        <f>"Sveriges Frisörföretagare"</f>
        <v>Sveriges Frisörföretagare</v>
      </c>
      <c r="C128" t="str">
        <f t="shared" si="11"/>
        <v>Handelsanställdas förbund</v>
      </c>
      <c r="D128" t="str">
        <f t="shared" si="13"/>
        <v>2025-03-31</v>
      </c>
    </row>
    <row r="129" spans="1:4" x14ac:dyDescent="0.35">
      <c r="A129" t="str">
        <f>"Lageravtalet"</f>
        <v>Lageravtalet</v>
      </c>
      <c r="B129" t="str">
        <f>"TGA - TeknikGrossisternas Arbetsgivareförening"</f>
        <v>TGA - TeknikGrossisternas Arbetsgivareförening</v>
      </c>
      <c r="C129" t="str">
        <f t="shared" si="11"/>
        <v>Handelsanställdas förbund</v>
      </c>
      <c r="D129" t="str">
        <f t="shared" si="13"/>
        <v>2025-03-31</v>
      </c>
    </row>
    <row r="130" spans="1:4" x14ac:dyDescent="0.35">
      <c r="A130" t="str">
        <f>"Spel"</f>
        <v>Spel</v>
      </c>
      <c r="B130" t="str">
        <f>"Almega Tjänsteförbunden"</f>
        <v>Almega Tjänsteförbunden</v>
      </c>
      <c r="C130" t="str">
        <f t="shared" ref="C130:C146" si="14">"Hotell- och Restaurangfacket"</f>
        <v>Hotell- och Restaurangfacket</v>
      </c>
      <c r="D130" t="str">
        <f>"2025-09-30"</f>
        <v>2025-09-30</v>
      </c>
    </row>
    <row r="131" spans="1:4" x14ac:dyDescent="0.35">
      <c r="A131" t="str">
        <f>"Bingopersonal"</f>
        <v>Bingopersonal</v>
      </c>
      <c r="B131" t="str">
        <f>"Almega Tjänsteföretagen"</f>
        <v>Almega Tjänsteföretagen</v>
      </c>
      <c r="C131" t="str">
        <f t="shared" si="14"/>
        <v>Hotell- och Restaurangfacket</v>
      </c>
      <c r="D131" t="str">
        <f>"2025-11-30"</f>
        <v>2025-11-30</v>
      </c>
    </row>
    <row r="132" spans="1:4" x14ac:dyDescent="0.35">
      <c r="A132" t="str">
        <f>"Bowlinganläggningar"</f>
        <v>Bowlinganläggningar</v>
      </c>
      <c r="B132" t="str">
        <f>"Almega Tjänsteföretagen"</f>
        <v>Almega Tjänsteföretagen</v>
      </c>
      <c r="C132" t="str">
        <f t="shared" si="14"/>
        <v>Hotell- och Restaurangfacket</v>
      </c>
      <c r="D132" t="str">
        <f>"2025-05-31"</f>
        <v>2025-05-31</v>
      </c>
    </row>
    <row r="133" spans="1:4" x14ac:dyDescent="0.35">
      <c r="A133" t="str">
        <f>"Gröna riksen (Visita)"</f>
        <v>Gröna riksen (Visita)</v>
      </c>
      <c r="B133" t="str">
        <f>"Arbetsgivaralliansen"</f>
        <v>Arbetsgivaralliansen</v>
      </c>
      <c r="C133" t="str">
        <f t="shared" si="14"/>
        <v>Hotell- och Restaurangfacket</v>
      </c>
      <c r="D133" t="str">
        <f>"2025-03-31"</f>
        <v>2025-03-31</v>
      </c>
    </row>
    <row r="134" spans="1:4" x14ac:dyDescent="0.35">
      <c r="A134" t="str">
        <f>"Folkets Hus och Parker"</f>
        <v>Folkets Hus och Parker</v>
      </c>
      <c r="B134" t="str">
        <f>"Fremia"</f>
        <v>Fremia</v>
      </c>
      <c r="C134" t="str">
        <f t="shared" si="14"/>
        <v>Hotell- och Restaurangfacket</v>
      </c>
      <c r="D134" t="str">
        <f>"2025-03-31"</f>
        <v>2025-03-31</v>
      </c>
    </row>
    <row r="135" spans="1:4" x14ac:dyDescent="0.35">
      <c r="A135" t="str">
        <f>"Samhall LO-förbund"</f>
        <v>Samhall LO-förbund</v>
      </c>
      <c r="B135" t="str">
        <f>"Fremia"</f>
        <v>Fremia</v>
      </c>
      <c r="C135" t="str">
        <f t="shared" si="14"/>
        <v>Hotell- och Restaurangfacket</v>
      </c>
      <c r="D135" t="str">
        <f>"2025-09-30"</f>
        <v>2025-09-30</v>
      </c>
    </row>
    <row r="136" spans="1:4" x14ac:dyDescent="0.35">
      <c r="A136" t="str">
        <f>"Restaurangavtal (Visita)"</f>
        <v>Restaurangavtal (Visita)</v>
      </c>
      <c r="B136" t="str">
        <f>"Fremia"</f>
        <v>Fremia</v>
      </c>
      <c r="C136" t="str">
        <f t="shared" si="14"/>
        <v>Hotell- och Restaurangfacket</v>
      </c>
      <c r="D136" t="str">
        <f>"2025-03-31"</f>
        <v>2025-03-31</v>
      </c>
    </row>
    <row r="137" spans="1:4" x14ac:dyDescent="0.35">
      <c r="A137" t="str">
        <f>"Bemanningsavtalet"</f>
        <v>Bemanningsavtalet</v>
      </c>
      <c r="B137" t="str">
        <f>"Kompetensföretagen"</f>
        <v>Kompetensföretagen</v>
      </c>
      <c r="C137" t="str">
        <f t="shared" si="14"/>
        <v>Hotell- och Restaurangfacket</v>
      </c>
      <c r="D137" t="str">
        <f>"2025-04-30"</f>
        <v>2025-04-30</v>
      </c>
    </row>
    <row r="138" spans="1:4" x14ac:dyDescent="0.35">
      <c r="A138" t="str">
        <f>"Serveringsavtalet"</f>
        <v>Serveringsavtalet</v>
      </c>
      <c r="B138" t="str">
        <f>"Livsmedelsföretagen"</f>
        <v>Livsmedelsföretagen</v>
      </c>
      <c r="C138" t="str">
        <f t="shared" si="14"/>
        <v>Hotell- och Restaurangfacket</v>
      </c>
      <c r="D138" t="str">
        <f>"2025-03-31"</f>
        <v>2025-03-31</v>
      </c>
    </row>
    <row r="139" spans="1:4" x14ac:dyDescent="0.35">
      <c r="A139" t="str">
        <f>"Restaurang- och caféanställda"</f>
        <v>Restaurang- och caféanställda</v>
      </c>
      <c r="B139" t="str">
        <f>"Svensk Handel"</f>
        <v>Svensk Handel</v>
      </c>
      <c r="C139" t="str">
        <f t="shared" si="14"/>
        <v>Hotell- och Restaurangfacket</v>
      </c>
      <c r="D139" t="str">
        <f>"2025-04-30"</f>
        <v>2025-04-30</v>
      </c>
    </row>
    <row r="140" spans="1:4" x14ac:dyDescent="0.35">
      <c r="A140" t="str">
        <f>"Cateringavtal"</f>
        <v>Cateringavtal</v>
      </c>
      <c r="B140" t="str">
        <f>"Svenska Flygbranschen"</f>
        <v>Svenska Flygbranschen</v>
      </c>
      <c r="C140" t="str">
        <f t="shared" si="14"/>
        <v>Hotell- och Restaurangfacket</v>
      </c>
      <c r="D140" t="str">
        <f t="shared" ref="D140:D146" si="15">"2025-03-31"</f>
        <v>2025-03-31</v>
      </c>
    </row>
    <row r="141" spans="1:4" x14ac:dyDescent="0.35">
      <c r="A141" t="str">
        <f>"Gröna riks"</f>
        <v>Gröna riks</v>
      </c>
      <c r="B141" t="str">
        <f t="shared" ref="B141:B146" si="16">"Visita"</f>
        <v>Visita</v>
      </c>
      <c r="C141" t="str">
        <f t="shared" si="14"/>
        <v>Hotell- och Restaurangfacket</v>
      </c>
      <c r="D141" t="str">
        <f t="shared" si="15"/>
        <v>2025-03-31</v>
      </c>
    </row>
    <row r="142" spans="1:4" x14ac:dyDescent="0.35">
      <c r="A142" t="str">
        <f>"Turistanläggningar"</f>
        <v>Turistanläggningar</v>
      </c>
      <c r="B142" t="str">
        <f t="shared" si="16"/>
        <v>Visita</v>
      </c>
      <c r="C142" t="str">
        <f t="shared" si="14"/>
        <v>Hotell- och Restaurangfacket</v>
      </c>
      <c r="D142" t="str">
        <f t="shared" si="15"/>
        <v>2025-03-31</v>
      </c>
    </row>
    <row r="143" spans="1:4" x14ac:dyDescent="0.35">
      <c r="A143" t="str">
        <f>"Ordningsvaktsavtal"</f>
        <v>Ordningsvaktsavtal</v>
      </c>
      <c r="B143" t="str">
        <f t="shared" si="16"/>
        <v>Visita</v>
      </c>
      <c r="C143" t="str">
        <f t="shared" si="14"/>
        <v>Hotell- och Restaurangfacket</v>
      </c>
      <c r="D143" t="str">
        <f t="shared" si="15"/>
        <v>2025-03-31</v>
      </c>
    </row>
    <row r="144" spans="1:4" x14ac:dyDescent="0.35">
      <c r="A144" t="str">
        <f>"Casinoföretag"</f>
        <v>Casinoföretag</v>
      </c>
      <c r="B144" t="str">
        <f t="shared" si="16"/>
        <v>Visita</v>
      </c>
      <c r="C144" t="str">
        <f t="shared" si="14"/>
        <v>Hotell- och Restaurangfacket</v>
      </c>
      <c r="D144" t="str">
        <f t="shared" si="15"/>
        <v>2025-03-31</v>
      </c>
    </row>
    <row r="145" spans="1:4" x14ac:dyDescent="0.35">
      <c r="A145" t="str">
        <f>"Nöjesavtal"</f>
        <v>Nöjesavtal</v>
      </c>
      <c r="B145" t="str">
        <f t="shared" si="16"/>
        <v>Visita</v>
      </c>
      <c r="C145" t="str">
        <f t="shared" si="14"/>
        <v>Hotell- och Restaurangfacket</v>
      </c>
      <c r="D145" t="str">
        <f t="shared" si="15"/>
        <v>2025-03-31</v>
      </c>
    </row>
    <row r="146" spans="1:4" x14ac:dyDescent="0.35">
      <c r="A146" t="str">
        <f>"Serveringslönesystemet"</f>
        <v>Serveringslönesystemet</v>
      </c>
      <c r="B146" t="str">
        <f t="shared" si="16"/>
        <v>Visita</v>
      </c>
      <c r="C146" t="str">
        <f t="shared" si="14"/>
        <v>Hotell- och Restaurangfacket</v>
      </c>
      <c r="D146" t="str">
        <f t="shared" si="15"/>
        <v>2025-03-31</v>
      </c>
    </row>
    <row r="147" spans="1:4" x14ac:dyDescent="0.35">
      <c r="A147" t="str">
        <f>"Centrala reparationsverkstäder"</f>
        <v>Centrala reparationsverkstäder</v>
      </c>
      <c r="B147" t="str">
        <f>"Byggföretagen"</f>
        <v>Byggföretagen</v>
      </c>
      <c r="C147" t="str">
        <f t="shared" ref="C147:C172" si="17">"IF Metall"</f>
        <v>IF Metall</v>
      </c>
      <c r="D147" t="str">
        <f>"2025-05-31"</f>
        <v>2025-05-31</v>
      </c>
    </row>
    <row r="148" spans="1:4" x14ac:dyDescent="0.35">
      <c r="A148" t="str">
        <f>"Gruventreprenadavtal"</f>
        <v>Gruventreprenadavtal</v>
      </c>
      <c r="B148" t="str">
        <f>"Byggföretagen"</f>
        <v>Byggföretagen</v>
      </c>
      <c r="C148" t="str">
        <f t="shared" si="17"/>
        <v>IF Metall</v>
      </c>
      <c r="D148" t="str">
        <f>"2025-03-31"</f>
        <v>2025-03-31</v>
      </c>
    </row>
    <row r="149" spans="1:4" x14ac:dyDescent="0.35">
      <c r="A149" t="str">
        <f>"Teknikavtal"</f>
        <v>Teknikavtal</v>
      </c>
      <c r="B149" t="str">
        <f>"Fremia"</f>
        <v>Fremia</v>
      </c>
      <c r="C149" t="str">
        <f t="shared" si="17"/>
        <v>IF Metall</v>
      </c>
      <c r="D149" t="str">
        <f>"2025-03-31"</f>
        <v>2025-03-31</v>
      </c>
    </row>
    <row r="150" spans="1:4" x14ac:dyDescent="0.35">
      <c r="A150" t="str">
        <f>"Samhall LO-förbund"</f>
        <v>Samhall LO-förbund</v>
      </c>
      <c r="B150" t="str">
        <f>"Fremia"</f>
        <v>Fremia</v>
      </c>
      <c r="C150" t="str">
        <f t="shared" si="17"/>
        <v>IF Metall</v>
      </c>
      <c r="D150" t="str">
        <f>"2025-09-30"</f>
        <v>2025-09-30</v>
      </c>
    </row>
    <row r="151" spans="1:4" x14ac:dyDescent="0.35">
      <c r="A151" t="str">
        <f>"I-avtalet"</f>
        <v>I-avtalet</v>
      </c>
      <c r="B151" t="str">
        <f>"Fremia"</f>
        <v>Fremia</v>
      </c>
      <c r="C151" t="str">
        <f t="shared" si="17"/>
        <v>IF Metall</v>
      </c>
      <c r="D151" t="str">
        <f>"2025-03-31"</f>
        <v>2025-03-31</v>
      </c>
    </row>
    <row r="152" spans="1:4" x14ac:dyDescent="0.35">
      <c r="A152" t="str">
        <f>"I-avtalet"</f>
        <v>I-avtalet</v>
      </c>
      <c r="B152" t="str">
        <f t="shared" ref="B152:B160" si="18">"IKEM – Innovations-och kemiarbetsgivarna"</f>
        <v>IKEM – Innovations-och kemiarbetsgivarna</v>
      </c>
      <c r="C152" t="str">
        <f t="shared" si="17"/>
        <v>IF Metall</v>
      </c>
      <c r="D152" t="str">
        <f>"2025-03-31"</f>
        <v>2025-03-31</v>
      </c>
    </row>
    <row r="153" spans="1:4" x14ac:dyDescent="0.35">
      <c r="A153" t="str">
        <f>"Återvinning"</f>
        <v>Återvinning</v>
      </c>
      <c r="B153" t="str">
        <f t="shared" si="18"/>
        <v>IKEM – Innovations-och kemiarbetsgivarna</v>
      </c>
      <c r="C153" t="str">
        <f t="shared" si="17"/>
        <v>IF Metall</v>
      </c>
      <c r="D153" t="str">
        <f>"2025-03-31"</f>
        <v>2025-03-31</v>
      </c>
    </row>
    <row r="154" spans="1:4" x14ac:dyDescent="0.35">
      <c r="A154" t="str">
        <f>"Kemiska fabriker"</f>
        <v>Kemiska fabriker</v>
      </c>
      <c r="B154" t="str">
        <f t="shared" si="18"/>
        <v>IKEM – Innovations-och kemiarbetsgivarna</v>
      </c>
      <c r="C154" t="str">
        <f t="shared" si="17"/>
        <v>IF Metall</v>
      </c>
      <c r="D154" t="str">
        <f>"2025-03-31"</f>
        <v>2025-03-31</v>
      </c>
    </row>
    <row r="155" spans="1:4" x14ac:dyDescent="0.35">
      <c r="A155" t="str">
        <f>"Gemensamma Metallavtalet"</f>
        <v>Gemensamma Metallavtalet</v>
      </c>
      <c r="B155" t="str">
        <f t="shared" si="18"/>
        <v>IKEM – Innovations-och kemiarbetsgivarna</v>
      </c>
      <c r="C155" t="str">
        <f t="shared" si="17"/>
        <v>IF Metall</v>
      </c>
      <c r="D155" t="str">
        <f>"2025-03-31"</f>
        <v>2025-03-31</v>
      </c>
    </row>
    <row r="156" spans="1:4" x14ac:dyDescent="0.35">
      <c r="A156" t="str">
        <f>"Sockerindustrin"</f>
        <v>Sockerindustrin</v>
      </c>
      <c r="B156" t="str">
        <f t="shared" si="18"/>
        <v>IKEM – Innovations-och kemiarbetsgivarna</v>
      </c>
      <c r="C156" t="str">
        <f t="shared" si="17"/>
        <v>IF Metall</v>
      </c>
      <c r="D156" t="str">
        <f>"2025-05-31"</f>
        <v>2025-05-31</v>
      </c>
    </row>
    <row r="157" spans="1:4" x14ac:dyDescent="0.35">
      <c r="A157" t="str">
        <f>"Oljeraffinaderier"</f>
        <v>Oljeraffinaderier</v>
      </c>
      <c r="B157" t="str">
        <f t="shared" si="18"/>
        <v>IKEM – Innovations-och kemiarbetsgivarna</v>
      </c>
      <c r="C157" t="str">
        <f t="shared" si="17"/>
        <v>IF Metall</v>
      </c>
      <c r="D157" t="str">
        <f>"2025-05-31"</f>
        <v>2025-05-31</v>
      </c>
    </row>
    <row r="158" spans="1:4" x14ac:dyDescent="0.35">
      <c r="A158" t="str">
        <f>"Glasindustri"</f>
        <v>Glasindustri</v>
      </c>
      <c r="B158" t="str">
        <f t="shared" si="18"/>
        <v>IKEM – Innovations-och kemiarbetsgivarna</v>
      </c>
      <c r="C158" t="str">
        <f t="shared" si="17"/>
        <v>IF Metall</v>
      </c>
      <c r="D158" t="str">
        <f>"2025-05-31"</f>
        <v>2025-05-31</v>
      </c>
    </row>
    <row r="159" spans="1:4" x14ac:dyDescent="0.35">
      <c r="A159" t="str">
        <f>"Tvättindustri"</f>
        <v>Tvättindustri</v>
      </c>
      <c r="B159" t="str">
        <f t="shared" si="18"/>
        <v>IKEM – Innovations-och kemiarbetsgivarna</v>
      </c>
      <c r="C159" t="str">
        <f t="shared" si="17"/>
        <v>IF Metall</v>
      </c>
      <c r="D159" t="str">
        <f>"2025-06-30"</f>
        <v>2025-06-30</v>
      </c>
    </row>
    <row r="160" spans="1:4" x14ac:dyDescent="0.35">
      <c r="A160" t="str">
        <f>"Explosivämnesindustri"</f>
        <v>Explosivämnesindustri</v>
      </c>
      <c r="B160" t="str">
        <f t="shared" si="18"/>
        <v>IKEM – Innovations-och kemiarbetsgivarna</v>
      </c>
      <c r="C160" t="str">
        <f t="shared" si="17"/>
        <v>IF Metall</v>
      </c>
      <c r="D160" t="str">
        <f>"2025-06-30"</f>
        <v>2025-06-30</v>
      </c>
    </row>
    <row r="161" spans="1:4" x14ac:dyDescent="0.35">
      <c r="A161" t="str">
        <f>"Byggnadsämnesindustri"</f>
        <v>Byggnadsämnesindustri</v>
      </c>
      <c r="B161" t="str">
        <f>"Industriarbetsgivarna (Byggnadsämnesindustrin)"</f>
        <v>Industriarbetsgivarna (Byggnadsämnesindustrin)</v>
      </c>
      <c r="C161" t="str">
        <f t="shared" si="17"/>
        <v>IF Metall</v>
      </c>
      <c r="D161" t="str">
        <f>"2025-05-31"</f>
        <v>2025-05-31</v>
      </c>
    </row>
    <row r="162" spans="1:4" x14ac:dyDescent="0.35">
      <c r="A162" t="str">
        <f>"Buteljglasindustri"</f>
        <v>Buteljglasindustri</v>
      </c>
      <c r="B162" t="str">
        <f>"Industriarbetsgivarna (Byggnadsämnesindustrin)"</f>
        <v>Industriarbetsgivarna (Byggnadsämnesindustrin)</v>
      </c>
      <c r="C162" t="str">
        <f t="shared" si="17"/>
        <v>IF Metall</v>
      </c>
      <c r="D162" t="str">
        <f>"2025-05-31"</f>
        <v>2025-05-31</v>
      </c>
    </row>
    <row r="163" spans="1:4" x14ac:dyDescent="0.35">
      <c r="A163" t="str">
        <f>"Gruvindustri"</f>
        <v>Gruvindustri</v>
      </c>
      <c r="B163" t="str">
        <f>"industriarbetsgivarna (Gruvorna)"</f>
        <v>industriarbetsgivarna (Gruvorna)</v>
      </c>
      <c r="C163" t="str">
        <f t="shared" si="17"/>
        <v>IF Metall</v>
      </c>
      <c r="D163" t="str">
        <f>"2025-03-31"</f>
        <v>2025-03-31</v>
      </c>
    </row>
    <row r="164" spans="1:4" x14ac:dyDescent="0.35">
      <c r="A164" t="str">
        <f>"Stål- och Metallindustri"</f>
        <v>Stål- och Metallindustri</v>
      </c>
      <c r="B164" t="str">
        <f>"Industriarbetsgivarna (Stål och Metall)"</f>
        <v>Industriarbetsgivarna (Stål och Metall)</v>
      </c>
      <c r="C164" t="str">
        <f t="shared" si="17"/>
        <v>IF Metall</v>
      </c>
      <c r="D164" t="str">
        <f>"2025-03-31"</f>
        <v>2025-03-31</v>
      </c>
    </row>
    <row r="165" spans="1:4" x14ac:dyDescent="0.35">
      <c r="A165" t="str">
        <f>"SVEMEK-avtalet"</f>
        <v>SVEMEK-avtalet</v>
      </c>
      <c r="B165" t="str">
        <f>"Industriarbetsgivarna (SVEMEK)"</f>
        <v>Industriarbetsgivarna (SVEMEK)</v>
      </c>
      <c r="C165" t="str">
        <f t="shared" si="17"/>
        <v>IF Metall</v>
      </c>
      <c r="D165" t="str">
        <f>"2025-05-31"</f>
        <v>2025-05-31</v>
      </c>
    </row>
    <row r="166" spans="1:4" x14ac:dyDescent="0.35">
      <c r="A166" t="str">
        <f>"Bemanningsavtalet"</f>
        <v>Bemanningsavtalet</v>
      </c>
      <c r="B166" t="str">
        <f>"Kompetensföretagen"</f>
        <v>Kompetensföretagen</v>
      </c>
      <c r="C166" t="str">
        <f t="shared" si="17"/>
        <v>IF Metall</v>
      </c>
      <c r="D166" t="str">
        <f>"2025-04-30"</f>
        <v>2025-04-30</v>
      </c>
    </row>
    <row r="167" spans="1:4" x14ac:dyDescent="0.35">
      <c r="A167" t="str">
        <f>"Torvavtalet"</f>
        <v>Torvavtalet</v>
      </c>
      <c r="B167" t="str">
        <f>"Maskinentreprenörerna"</f>
        <v>Maskinentreprenörerna</v>
      </c>
      <c r="C167" t="str">
        <f t="shared" si="17"/>
        <v>IF Metall</v>
      </c>
      <c r="D167" t="str">
        <f>"2025-05-31"</f>
        <v>2025-05-31</v>
      </c>
    </row>
    <row r="168" spans="1:4" x14ac:dyDescent="0.35">
      <c r="A168" t="str">
        <f>"Gruventreprenadavtal"</f>
        <v>Gruventreprenadavtal</v>
      </c>
      <c r="B168" t="str">
        <f>"Maskinentreprenörerna"</f>
        <v>Maskinentreprenörerna</v>
      </c>
      <c r="C168" t="str">
        <f t="shared" si="17"/>
        <v>IF Metall</v>
      </c>
      <c r="D168" t="str">
        <f>"2025-04-30"</f>
        <v>2025-04-30</v>
      </c>
    </row>
    <row r="169" spans="1:4" x14ac:dyDescent="0.35">
      <c r="A169" t="str">
        <f>"Motorbranschavtal"</f>
        <v>Motorbranschavtal</v>
      </c>
      <c r="B169" t="str">
        <f>"Motorbranschens Arbetsgivareförbund"</f>
        <v>Motorbranschens Arbetsgivareförbund</v>
      </c>
      <c r="C169" t="str">
        <f t="shared" si="17"/>
        <v>IF Metall</v>
      </c>
      <c r="D169" t="str">
        <f>"2025-04-30"</f>
        <v>2025-04-30</v>
      </c>
    </row>
    <row r="170" spans="1:4" x14ac:dyDescent="0.35">
      <c r="A170" t="str">
        <f>"Industriavtalet"</f>
        <v>Industriavtalet</v>
      </c>
      <c r="B170" t="str">
        <f>"Sinf"</f>
        <v>Sinf</v>
      </c>
      <c r="C170" t="str">
        <f t="shared" si="17"/>
        <v>IF Metall</v>
      </c>
      <c r="D170" t="str">
        <f>"2025-05-31"</f>
        <v>2025-05-31</v>
      </c>
    </row>
    <row r="171" spans="1:4" x14ac:dyDescent="0.35">
      <c r="A171" t="str">
        <f>"Teknikavtal"</f>
        <v>Teknikavtal</v>
      </c>
      <c r="B171" t="str">
        <f>"Teknikarbetsgivarna"</f>
        <v>Teknikarbetsgivarna</v>
      </c>
      <c r="C171" t="str">
        <f t="shared" si="17"/>
        <v>IF Metall</v>
      </c>
      <c r="D171" t="str">
        <f>"2025-03-31"</f>
        <v>2025-03-31</v>
      </c>
    </row>
    <row r="172" spans="1:4" x14ac:dyDescent="0.35">
      <c r="A172" t="str">
        <f>"Teko-avtal"</f>
        <v>Teko-avtal</v>
      </c>
      <c r="B172" t="str">
        <f>"TEKO, Sveriges Textil- och Modeföretag"</f>
        <v>TEKO, Sveriges Textil- och Modeföretag</v>
      </c>
      <c r="C172" t="str">
        <f t="shared" si="17"/>
        <v>IF Metall</v>
      </c>
      <c r="D172" t="str">
        <f>"2025-03-31"</f>
        <v>2025-03-31</v>
      </c>
    </row>
    <row r="173" spans="1:4" x14ac:dyDescent="0.35">
      <c r="A173" t="str">
        <f>"Dagspress"</f>
        <v>Dagspress</v>
      </c>
      <c r="B173" t="str">
        <f>"Fremia"</f>
        <v>Fremia</v>
      </c>
      <c r="C173" t="str">
        <f t="shared" ref="C173:C181" si="19">"Journalistförbundet"</f>
        <v>Journalistförbundet</v>
      </c>
      <c r="D173" t="str">
        <f>"2023-03-31"</f>
        <v>2023-03-31</v>
      </c>
    </row>
    <row r="174" spans="1:4" x14ac:dyDescent="0.35">
      <c r="A174" t="str">
        <f>"Uppdragstagaravtal (fd Frilansavtal)"</f>
        <v>Uppdragstagaravtal (fd Frilansavtal)</v>
      </c>
      <c r="B174" t="str">
        <f>"Fremia"</f>
        <v>Fremia</v>
      </c>
      <c r="C174" t="str">
        <f t="shared" si="19"/>
        <v>Journalistförbundet</v>
      </c>
      <c r="D174" t="str">
        <f>""</f>
        <v/>
      </c>
    </row>
    <row r="175" spans="1:4" x14ac:dyDescent="0.35">
      <c r="A175" t="str">
        <f>"Hyresgästföreningen"</f>
        <v>Hyresgästföreningen</v>
      </c>
      <c r="B175" t="str">
        <f>"Fremia"</f>
        <v>Fremia</v>
      </c>
      <c r="C175" t="str">
        <f t="shared" si="19"/>
        <v>Journalistförbundet</v>
      </c>
      <c r="D175" t="str">
        <f>"2025-09-30"</f>
        <v>2025-09-30</v>
      </c>
    </row>
    <row r="176" spans="1:4" x14ac:dyDescent="0.35">
      <c r="A176" t="str">
        <f>"Uppdragstagaravtal (fd Frilansavtal)"</f>
        <v>Uppdragstagaravtal (fd Frilansavtal)</v>
      </c>
      <c r="B176" t="str">
        <f t="shared" ref="B176:B181" si="20">"Medieföretagen"</f>
        <v>Medieföretagen</v>
      </c>
      <c r="C176" t="str">
        <f t="shared" si="19"/>
        <v>Journalistförbundet</v>
      </c>
      <c r="D176" t="str">
        <f>""</f>
        <v/>
      </c>
    </row>
    <row r="177" spans="1:4" x14ac:dyDescent="0.35">
      <c r="A177" t="str">
        <f>"Dagspress"</f>
        <v>Dagspress</v>
      </c>
      <c r="B177" t="str">
        <f t="shared" si="20"/>
        <v>Medieföretagen</v>
      </c>
      <c r="C177" t="str">
        <f t="shared" si="19"/>
        <v>Journalistförbundet</v>
      </c>
      <c r="D177" t="str">
        <f>"2025-03-31"</f>
        <v>2025-03-31</v>
      </c>
    </row>
    <row r="178" spans="1:4" x14ac:dyDescent="0.35">
      <c r="A178" t="str">
        <f>"Public Service med dotterföretag"</f>
        <v>Public Service med dotterföretag</v>
      </c>
      <c r="B178" t="str">
        <f t="shared" si="20"/>
        <v>Medieföretagen</v>
      </c>
      <c r="C178" t="str">
        <f t="shared" si="19"/>
        <v>Journalistförbundet</v>
      </c>
      <c r="D178" t="str">
        <f>"2025-03-31"</f>
        <v>2025-03-31</v>
      </c>
    </row>
    <row r="179" spans="1:4" x14ac:dyDescent="0.35">
      <c r="A179" t="str">
        <f>"Tidsskriftsföretag"</f>
        <v>Tidsskriftsföretag</v>
      </c>
      <c r="B179" t="str">
        <f t="shared" si="20"/>
        <v>Medieföretagen</v>
      </c>
      <c r="C179" t="str">
        <f t="shared" si="19"/>
        <v>Journalistförbundet</v>
      </c>
      <c r="D179" t="str">
        <f>"2025-03-31"</f>
        <v>2025-03-31</v>
      </c>
    </row>
    <row r="180" spans="1:4" x14ac:dyDescent="0.35">
      <c r="A180" t="str">
        <f>"Etermediaavtal"</f>
        <v>Etermediaavtal</v>
      </c>
      <c r="B180" t="str">
        <f t="shared" si="20"/>
        <v>Medieföretagen</v>
      </c>
      <c r="C180" t="str">
        <f t="shared" si="19"/>
        <v>Journalistförbundet</v>
      </c>
      <c r="D180" t="str">
        <f>"2025-03-31"</f>
        <v>2025-03-31</v>
      </c>
    </row>
    <row r="181" spans="1:4" x14ac:dyDescent="0.35">
      <c r="A181" t="str">
        <f>"Bemanningsavtal"</f>
        <v>Bemanningsavtal</v>
      </c>
      <c r="B181" t="str">
        <f t="shared" si="20"/>
        <v>Medieföretagen</v>
      </c>
      <c r="C181" t="str">
        <f t="shared" si="19"/>
        <v>Journalistförbundet</v>
      </c>
      <c r="D181" t="str">
        <f>"2025-03-31"</f>
        <v>2025-03-31</v>
      </c>
    </row>
    <row r="182" spans="1:4" x14ac:dyDescent="0.35">
      <c r="A182" t="str">
        <f>"Svenska Kyrkan"</f>
        <v>Svenska Kyrkan</v>
      </c>
      <c r="B182" t="str">
        <f>"Svenska Kyrkan"</f>
        <v>Svenska Kyrkan</v>
      </c>
      <c r="C182" t="str">
        <f>"Kyrkans Akademikerförbund"</f>
        <v>Kyrkans Akademikerförbund</v>
      </c>
      <c r="D182" t="str">
        <f>"2025-04-30"</f>
        <v>2025-04-30</v>
      </c>
    </row>
    <row r="183" spans="1:4" x14ac:dyDescent="0.35">
      <c r="A183" t="str">
        <f>"Hemserviceföretag"</f>
        <v>Hemserviceföretag</v>
      </c>
      <c r="B183" t="str">
        <f t="shared" ref="B183:B189" si="21">"Almega Tjänsteförbunden"</f>
        <v>Almega Tjänsteförbunden</v>
      </c>
      <c r="C183" t="str">
        <f t="shared" ref="C183:C214" si="22">"Ledarna"</f>
        <v>Ledarna</v>
      </c>
      <c r="D183" t="str">
        <f>""</f>
        <v/>
      </c>
    </row>
    <row r="184" spans="1:4" x14ac:dyDescent="0.35">
      <c r="A184" t="str">
        <f>"Lagring och Distribution"</f>
        <v>Lagring och Distribution</v>
      </c>
      <c r="B184" t="str">
        <f t="shared" si="21"/>
        <v>Almega Tjänsteförbunden</v>
      </c>
      <c r="C184" t="str">
        <f t="shared" si="22"/>
        <v>Ledarna</v>
      </c>
      <c r="D184" t="str">
        <f>""</f>
        <v/>
      </c>
    </row>
    <row r="185" spans="1:4" x14ac:dyDescent="0.35">
      <c r="A185" t="str">
        <f>"Utveckling och tjänster"</f>
        <v>Utveckling och tjänster</v>
      </c>
      <c r="B185" t="str">
        <f t="shared" si="21"/>
        <v>Almega Tjänsteförbunden</v>
      </c>
      <c r="C185" t="str">
        <f t="shared" si="22"/>
        <v>Ledarna</v>
      </c>
      <c r="D185" t="str">
        <f>""</f>
        <v/>
      </c>
    </row>
    <row r="186" spans="1:4" x14ac:dyDescent="0.35">
      <c r="A186" t="str">
        <f>"Almega Tjänsteförbunden, Serviceföretagen Tjänstemannaavtal"</f>
        <v>Almega Tjänsteförbunden, Serviceföretagen Tjänstemannaavtal</v>
      </c>
      <c r="B186" t="str">
        <f t="shared" si="21"/>
        <v>Almega Tjänsteförbunden</v>
      </c>
      <c r="C186" t="str">
        <f t="shared" si="22"/>
        <v>Ledarna</v>
      </c>
      <c r="D186" t="str">
        <f>"2025-03-31"</f>
        <v>2025-03-31</v>
      </c>
    </row>
    <row r="187" spans="1:4" x14ac:dyDescent="0.35">
      <c r="A187" t="str">
        <f>"Fastigheter"</f>
        <v>Fastigheter</v>
      </c>
      <c r="B187" t="str">
        <f t="shared" si="21"/>
        <v>Almega Tjänsteförbunden</v>
      </c>
      <c r="C187" t="str">
        <f t="shared" si="22"/>
        <v>Ledarna</v>
      </c>
      <c r="D187" t="str">
        <f>""</f>
        <v/>
      </c>
    </row>
    <row r="188" spans="1:4" x14ac:dyDescent="0.35">
      <c r="A188" t="str">
        <f>"Kommunikation"</f>
        <v>Kommunikation</v>
      </c>
      <c r="B188" t="str">
        <f t="shared" si="21"/>
        <v>Almega Tjänsteförbunden</v>
      </c>
      <c r="C188" t="str">
        <f t="shared" si="22"/>
        <v>Ledarna</v>
      </c>
      <c r="D188" t="str">
        <f>""</f>
        <v/>
      </c>
    </row>
    <row r="189" spans="1:4" x14ac:dyDescent="0.35">
      <c r="A189" t="str">
        <f>"Järnvägsinfrastruktur"</f>
        <v>Järnvägsinfrastruktur</v>
      </c>
      <c r="B189" t="str">
        <f t="shared" si="21"/>
        <v>Almega Tjänsteförbunden</v>
      </c>
      <c r="C189" t="str">
        <f t="shared" si="22"/>
        <v>Ledarna</v>
      </c>
      <c r="D189" t="str">
        <f>""</f>
        <v/>
      </c>
    </row>
    <row r="190" spans="1:4" x14ac:dyDescent="0.35">
      <c r="A190" t="str">
        <f>"Högskola"</f>
        <v>Högskola</v>
      </c>
      <c r="B190" t="str">
        <f t="shared" ref="B190:B197" si="23">"Arbetsgivaralliansen"</f>
        <v>Arbetsgivaralliansen</v>
      </c>
      <c r="C190" t="str">
        <f t="shared" si="22"/>
        <v>Ledarna</v>
      </c>
      <c r="D190" t="str">
        <f>"2025-06-30"</f>
        <v>2025-06-30</v>
      </c>
    </row>
    <row r="191" spans="1:4" x14ac:dyDescent="0.35">
      <c r="A191" t="str">
        <f>"Vård och omsorg"</f>
        <v>Vård och omsorg</v>
      </c>
      <c r="B191" t="str">
        <f t="shared" si="23"/>
        <v>Arbetsgivaralliansen</v>
      </c>
      <c r="C191" t="str">
        <f t="shared" si="22"/>
        <v>Ledarna</v>
      </c>
      <c r="D191" t="str">
        <f>"2025-09-30"</f>
        <v>2025-09-30</v>
      </c>
    </row>
    <row r="192" spans="1:4" x14ac:dyDescent="0.35">
      <c r="A192" t="str">
        <f>"Skola/utbildning"</f>
        <v>Skola/utbildning</v>
      </c>
      <c r="B192" t="str">
        <f t="shared" si="23"/>
        <v>Arbetsgivaralliansen</v>
      </c>
      <c r="C192" t="str">
        <f t="shared" si="22"/>
        <v>Ledarna</v>
      </c>
      <c r="D192" t="str">
        <f>"2025-04-30"</f>
        <v>2025-04-30</v>
      </c>
    </row>
    <row r="193" spans="1:4" x14ac:dyDescent="0.35">
      <c r="A193" t="str">
        <f>"Upplevelse och kultur"</f>
        <v>Upplevelse och kultur</v>
      </c>
      <c r="B193" t="str">
        <f t="shared" si="23"/>
        <v>Arbetsgivaralliansen</v>
      </c>
      <c r="C193" t="str">
        <f t="shared" si="22"/>
        <v>Ledarna</v>
      </c>
      <c r="D193" t="str">
        <f>""</f>
        <v/>
      </c>
    </row>
    <row r="194" spans="1:4" x14ac:dyDescent="0.35">
      <c r="A194" t="str">
        <f>"Ideella och Idéburna organisationer"</f>
        <v>Ideella och Idéburna organisationer</v>
      </c>
      <c r="B194" t="str">
        <f t="shared" si="23"/>
        <v>Arbetsgivaralliansen</v>
      </c>
      <c r="C194" t="str">
        <f t="shared" si="22"/>
        <v>Ledarna</v>
      </c>
      <c r="D194" t="str">
        <f>""</f>
        <v/>
      </c>
    </row>
    <row r="195" spans="1:4" x14ac:dyDescent="0.35">
      <c r="A195" t="str">
        <f>"Folkhögskolor"</f>
        <v>Folkhögskolor</v>
      </c>
      <c r="B195" t="str">
        <f t="shared" si="23"/>
        <v>Arbetsgivaralliansen</v>
      </c>
      <c r="C195" t="str">
        <f t="shared" si="22"/>
        <v>Ledarna</v>
      </c>
      <c r="D195" t="str">
        <f>"2025-04-30"</f>
        <v>2025-04-30</v>
      </c>
    </row>
    <row r="196" spans="1:4" x14ac:dyDescent="0.35">
      <c r="A196" t="str">
        <f>"Idrott"</f>
        <v>Idrott</v>
      </c>
      <c r="B196" t="str">
        <f t="shared" si="23"/>
        <v>Arbetsgivaralliansen</v>
      </c>
      <c r="C196" t="str">
        <f t="shared" si="22"/>
        <v>Ledarna</v>
      </c>
      <c r="D196" t="str">
        <f>"2025-10-31"</f>
        <v>2025-10-31</v>
      </c>
    </row>
    <row r="197" spans="1:4" x14ac:dyDescent="0.35">
      <c r="A197" t="str">
        <f>"Trossamfund och ekumeniska organisationer"</f>
        <v>Trossamfund och ekumeniska organisationer</v>
      </c>
      <c r="B197" t="str">
        <f t="shared" si="23"/>
        <v>Arbetsgivaralliansen</v>
      </c>
      <c r="C197" t="str">
        <f t="shared" si="22"/>
        <v>Ledarna</v>
      </c>
      <c r="D197" t="str">
        <f>""</f>
        <v/>
      </c>
    </row>
    <row r="198" spans="1:4" x14ac:dyDescent="0.35">
      <c r="A198" t="str">
        <f>"Tjänstemannaavtal"</f>
        <v>Tjänstemannaavtal</v>
      </c>
      <c r="B198" t="str">
        <f>"Biltrafikens Arbetsgivareförbund"</f>
        <v>Biltrafikens Arbetsgivareförbund</v>
      </c>
      <c r="C198" t="str">
        <f t="shared" si="22"/>
        <v>Ledarna</v>
      </c>
      <c r="D198" t="str">
        <f>""</f>
        <v/>
      </c>
    </row>
    <row r="199" spans="1:4" x14ac:dyDescent="0.35">
      <c r="A199" t="str">
        <f>"Tjänstemannaavtal inom byggbranschen"</f>
        <v>Tjänstemannaavtal inom byggbranschen</v>
      </c>
      <c r="B199" t="str">
        <f>"Byggföretagen"</f>
        <v>Byggföretagen</v>
      </c>
      <c r="C199" t="str">
        <f t="shared" si="22"/>
        <v>Ledarna</v>
      </c>
      <c r="D199" t="str">
        <f>""</f>
        <v/>
      </c>
    </row>
    <row r="200" spans="1:4" x14ac:dyDescent="0.35">
      <c r="A200" t="str">
        <f>"Energiavtal"</f>
        <v>Energiavtal</v>
      </c>
      <c r="B200" t="str">
        <f>"EnergiFöretagens Arbetsgivareförening EFA"</f>
        <v>EnergiFöretagens Arbetsgivareförening EFA</v>
      </c>
      <c r="C200" t="str">
        <f t="shared" si="22"/>
        <v>Ledarna</v>
      </c>
      <c r="D200" t="str">
        <f>""</f>
        <v/>
      </c>
    </row>
    <row r="201" spans="1:4" x14ac:dyDescent="0.35">
      <c r="A201" t="str">
        <f>"K-avtalet (Tjänstemannaavtal)"</f>
        <v>K-avtalet (Tjänstemannaavtal)</v>
      </c>
      <c r="B201" t="str">
        <f>"Fastigo - Fastighetsbranschens Arbetsgivarorganisation"</f>
        <v>Fastigo - Fastighetsbranschens Arbetsgivarorganisation</v>
      </c>
      <c r="C201" t="str">
        <f t="shared" si="22"/>
        <v>Ledarna</v>
      </c>
      <c r="D201" t="str">
        <f>""</f>
        <v/>
      </c>
    </row>
    <row r="202" spans="1:4" x14ac:dyDescent="0.35">
      <c r="A202" t="str">
        <f>"I-avtalet (Tjänstemannaavtal)"</f>
        <v>I-avtalet (Tjänstemannaavtal)</v>
      </c>
      <c r="B202" t="str">
        <f>"Fastigo - Fastighetsbranschens Arbetsgivarorganisation"</f>
        <v>Fastigo - Fastighetsbranschens Arbetsgivarorganisation</v>
      </c>
      <c r="C202" t="str">
        <f t="shared" si="22"/>
        <v>Ledarna</v>
      </c>
      <c r="D202" t="str">
        <f>""</f>
        <v/>
      </c>
    </row>
    <row r="203" spans="1:4" x14ac:dyDescent="0.35">
      <c r="A203" t="str">
        <f>"Tjänstemannaavtal (direktanställda tjänstemän)"</f>
        <v>Tjänstemannaavtal (direktanställda tjänstemän)</v>
      </c>
      <c r="B203" t="str">
        <f>"Fremia"</f>
        <v>Fremia</v>
      </c>
      <c r="C203" t="str">
        <f t="shared" si="22"/>
        <v>Ledarna</v>
      </c>
      <c r="D203" t="str">
        <f>""</f>
        <v/>
      </c>
    </row>
    <row r="204" spans="1:4" x14ac:dyDescent="0.35">
      <c r="A204" t="str">
        <f>"Tjänstemän inom näringslivet"</f>
        <v>Tjänstemän inom näringslivet</v>
      </c>
      <c r="B204" t="str">
        <f>"Fremia"</f>
        <v>Fremia</v>
      </c>
      <c r="C204" t="str">
        <f t="shared" si="22"/>
        <v>Ledarna</v>
      </c>
      <c r="D204" t="str">
        <f>"2025-03-31"</f>
        <v>2025-03-31</v>
      </c>
    </row>
    <row r="205" spans="1:4" x14ac:dyDescent="0.35">
      <c r="A205" t="str">
        <f>"KTF-tjänstemän inom handeln"</f>
        <v>KTF-tjänstemän inom handeln</v>
      </c>
      <c r="B205" t="str">
        <f>"Fremia"</f>
        <v>Fremia</v>
      </c>
      <c r="C205" t="str">
        <f t="shared" si="22"/>
        <v>Ledarna</v>
      </c>
      <c r="D205" t="str">
        <f>""</f>
        <v/>
      </c>
    </row>
    <row r="206" spans="1:4" x14ac:dyDescent="0.35">
      <c r="A206" t="str">
        <f>"Tjänstemannaavtal"</f>
        <v>Tjänstemannaavtal</v>
      </c>
      <c r="B206" t="str">
        <f>"Glasbranschföreningen"</f>
        <v>Glasbranschföreningen</v>
      </c>
      <c r="C206" t="str">
        <f t="shared" si="22"/>
        <v>Ledarna</v>
      </c>
      <c r="D206" t="str">
        <f>""</f>
        <v/>
      </c>
    </row>
    <row r="207" spans="1:4" x14ac:dyDescent="0.35">
      <c r="A207" t="str">
        <f>"Tjänstemannaavtal"</f>
        <v>Tjänstemannaavtal</v>
      </c>
      <c r="B207" t="str">
        <f>"Grafiska Företagens Förbund"</f>
        <v>Grafiska Företagens Förbund</v>
      </c>
      <c r="C207" t="str">
        <f t="shared" si="22"/>
        <v>Ledarna</v>
      </c>
      <c r="D207" t="str">
        <f>""</f>
        <v/>
      </c>
    </row>
    <row r="208" spans="1:4" x14ac:dyDescent="0.35">
      <c r="A208" t="str">
        <f>"Golf, Trädgårdsodlingar, Trädgårdsanläggningar"</f>
        <v>Golf, Trädgårdsodlingar, Trädgårdsanläggningar</v>
      </c>
      <c r="B208" t="str">
        <f>"Gröna arbetsgivare"</f>
        <v>Gröna arbetsgivare</v>
      </c>
      <c r="C208" t="str">
        <f t="shared" si="22"/>
        <v>Ledarna</v>
      </c>
      <c r="D208" t="str">
        <f>""</f>
        <v/>
      </c>
    </row>
    <row r="209" spans="1:4" x14ac:dyDescent="0.35">
      <c r="A209" t="str">
        <f>"Hushållningssällskap och Husdjursföreningar"</f>
        <v>Hushållningssällskap och Husdjursföreningar</v>
      </c>
      <c r="B209" t="str">
        <f>"Gröna arbetsgivare"</f>
        <v>Gröna arbetsgivare</v>
      </c>
      <c r="C209" t="str">
        <f t="shared" si="22"/>
        <v>Ledarna</v>
      </c>
      <c r="D209" t="str">
        <f>""</f>
        <v/>
      </c>
    </row>
    <row r="210" spans="1:4" x14ac:dyDescent="0.35">
      <c r="A210" t="str">
        <f>"Tjänstemannaavtal Skogsbruk"</f>
        <v>Tjänstemannaavtal Skogsbruk</v>
      </c>
      <c r="B210" t="str">
        <f>"Gröna arbetsgivare"</f>
        <v>Gröna arbetsgivare</v>
      </c>
      <c r="C210" t="str">
        <f t="shared" si="22"/>
        <v>Ledarna</v>
      </c>
      <c r="D210" t="str">
        <f>""</f>
        <v/>
      </c>
    </row>
    <row r="211" spans="1:4" x14ac:dyDescent="0.35">
      <c r="A211" t="str">
        <f>"Tjänstemannaavtal"</f>
        <v>Tjänstemannaavtal</v>
      </c>
      <c r="B211" t="str">
        <f>"IKEM – Innovations-och kemiarbetsgivarna"</f>
        <v>IKEM – Innovations-och kemiarbetsgivarna</v>
      </c>
      <c r="C211" t="str">
        <f t="shared" si="22"/>
        <v>Ledarna</v>
      </c>
      <c r="D211" t="str">
        <f>"2025-03-31"</f>
        <v>2025-03-31</v>
      </c>
    </row>
    <row r="212" spans="1:4" x14ac:dyDescent="0.35">
      <c r="A212" t="str">
        <f>"Tjänstemannaavtal"</f>
        <v>Tjänstemannaavtal</v>
      </c>
      <c r="B212" t="str">
        <f>"Industriarbetsgivarna (Byggnadsämnesindustrin)"</f>
        <v>Industriarbetsgivarna (Byggnadsämnesindustrin)</v>
      </c>
      <c r="C212" t="str">
        <f t="shared" si="22"/>
        <v>Ledarna</v>
      </c>
      <c r="D212" t="str">
        <f>""</f>
        <v/>
      </c>
    </row>
    <row r="213" spans="1:4" x14ac:dyDescent="0.35">
      <c r="A213" t="str">
        <f>"Gruvindustri"</f>
        <v>Gruvindustri</v>
      </c>
      <c r="B213" t="str">
        <f>"industriarbetsgivarna (Gruvorna)"</f>
        <v>industriarbetsgivarna (Gruvorna)</v>
      </c>
      <c r="C213" t="str">
        <f t="shared" si="22"/>
        <v>Ledarna</v>
      </c>
      <c r="D213" t="str">
        <f>""</f>
        <v/>
      </c>
    </row>
    <row r="214" spans="1:4" x14ac:dyDescent="0.35">
      <c r="A214" t="str">
        <f>"Sågverksindustri"</f>
        <v>Sågverksindustri</v>
      </c>
      <c r="B214" t="str">
        <f>"Industriarbetsgivarna (Skogsindustrier)"</f>
        <v>Industriarbetsgivarna (Skogsindustrier)</v>
      </c>
      <c r="C214" t="str">
        <f t="shared" si="22"/>
        <v>Ledarna</v>
      </c>
      <c r="D214" t="str">
        <f>""</f>
        <v/>
      </c>
    </row>
    <row r="215" spans="1:4" x14ac:dyDescent="0.35">
      <c r="A215" t="str">
        <f>"Massa- och Pappersindustri"</f>
        <v>Massa- och Pappersindustri</v>
      </c>
      <c r="B215" t="str">
        <f>"Industriarbetsgivarna (Skogsindustrier)"</f>
        <v>Industriarbetsgivarna (Skogsindustrier)</v>
      </c>
      <c r="C215" t="str">
        <f t="shared" ref="C215:C247" si="24">"Ledarna"</f>
        <v>Ledarna</v>
      </c>
      <c r="D215" t="str">
        <f>"2025-03-31"</f>
        <v>2025-03-31</v>
      </c>
    </row>
    <row r="216" spans="1:4" x14ac:dyDescent="0.35">
      <c r="A216" t="str">
        <f>"Stål- och Metallindustri"</f>
        <v>Stål- och Metallindustri</v>
      </c>
      <c r="B216" t="str">
        <f>"Industriarbetsgivarna (Stål och Metall)"</f>
        <v>Industriarbetsgivarna (Stål och Metall)</v>
      </c>
      <c r="C216" t="str">
        <f t="shared" si="24"/>
        <v>Ledarna</v>
      </c>
      <c r="D216" t="str">
        <f>""</f>
        <v/>
      </c>
    </row>
    <row r="217" spans="1:4" x14ac:dyDescent="0.35">
      <c r="A217" t="str">
        <f>"Tjänstemannaavtal"</f>
        <v>Tjänstemannaavtal</v>
      </c>
      <c r="B217" t="str">
        <f>"Industriarbetsgivarna (SVEMEK)"</f>
        <v>Industriarbetsgivarna (SVEMEK)</v>
      </c>
      <c r="C217" t="str">
        <f t="shared" si="24"/>
        <v>Ledarna</v>
      </c>
      <c r="D217" t="str">
        <f>""</f>
        <v/>
      </c>
    </row>
    <row r="218" spans="1:4" x14ac:dyDescent="0.35">
      <c r="A218" t="str">
        <f>"Tjänstemannaavtal"</f>
        <v>Tjänstemannaavtal</v>
      </c>
      <c r="B218" t="str">
        <f>"Installatörsföretagen"</f>
        <v>Installatörsföretagen</v>
      </c>
      <c r="C218" t="str">
        <f t="shared" si="24"/>
        <v>Ledarna</v>
      </c>
      <c r="D218" t="str">
        <f>""</f>
        <v/>
      </c>
    </row>
    <row r="219" spans="1:4" x14ac:dyDescent="0.35">
      <c r="A219" t="str">
        <f>"Tjänstemannaavtal"</f>
        <v>Tjänstemannaavtal</v>
      </c>
      <c r="B219" t="str">
        <f>"Livsmedelsföretagen"</f>
        <v>Livsmedelsföretagen</v>
      </c>
      <c r="C219" t="str">
        <f t="shared" si="24"/>
        <v>Ledarna</v>
      </c>
      <c r="D219" t="str">
        <f>""</f>
        <v/>
      </c>
    </row>
    <row r="220" spans="1:4" x14ac:dyDescent="0.35">
      <c r="A220" t="str">
        <f>"Tjänstemannaavtal"</f>
        <v>Tjänstemannaavtal</v>
      </c>
      <c r="B220" t="str">
        <f>"Maskinentreprenörerna"</f>
        <v>Maskinentreprenörerna</v>
      </c>
      <c r="C220" t="str">
        <f t="shared" si="24"/>
        <v>Ledarna</v>
      </c>
      <c r="D220" t="str">
        <f>""</f>
        <v/>
      </c>
    </row>
    <row r="221" spans="1:4" x14ac:dyDescent="0.35">
      <c r="A221" t="str">
        <f>"Ledaravtal mediechefer"</f>
        <v>Ledaravtal mediechefer</v>
      </c>
      <c r="B221" t="str">
        <f>"Medieföretagen"</f>
        <v>Medieföretagen</v>
      </c>
      <c r="C221" t="str">
        <f t="shared" si="24"/>
        <v>Ledarna</v>
      </c>
      <c r="D221" t="str">
        <f>""</f>
        <v/>
      </c>
    </row>
    <row r="222" spans="1:4" x14ac:dyDescent="0.35">
      <c r="A222" t="str">
        <f>"Tjänstemannaavtal"</f>
        <v>Tjänstemannaavtal</v>
      </c>
      <c r="B222" t="str">
        <f>"Motorbranschens Arbetsgivareförbund"</f>
        <v>Motorbranschens Arbetsgivareförbund</v>
      </c>
      <c r="C222" t="str">
        <f t="shared" si="24"/>
        <v>Ledarna</v>
      </c>
      <c r="D222" t="str">
        <f>""</f>
        <v/>
      </c>
    </row>
    <row r="223" spans="1:4" x14ac:dyDescent="0.35">
      <c r="A223" t="str">
        <f>"Tjänstemannaavtal"</f>
        <v>Tjänstemannaavtal</v>
      </c>
      <c r="B223" t="str">
        <f>"Måleriföretagen i Sverige"</f>
        <v>Måleriföretagen i Sverige</v>
      </c>
      <c r="C223" t="str">
        <f t="shared" si="24"/>
        <v>Ledarna</v>
      </c>
      <c r="D223" t="str">
        <f>""</f>
        <v/>
      </c>
    </row>
    <row r="224" spans="1:4" x14ac:dyDescent="0.35">
      <c r="A224" t="str">
        <f>"Tjänstemannaavtal"</f>
        <v>Tjänstemannaavtal</v>
      </c>
      <c r="B224" t="str">
        <f>"Plåt &amp; Ventföretagen"</f>
        <v>Plåt &amp; Ventföretagen</v>
      </c>
      <c r="C224" t="str">
        <f t="shared" si="24"/>
        <v>Ledarna</v>
      </c>
      <c r="D224" t="str">
        <f>""</f>
        <v/>
      </c>
    </row>
    <row r="225" spans="1:4" x14ac:dyDescent="0.35">
      <c r="A225" t="str">
        <f>"Ledaravtal"</f>
        <v>Ledaravtal</v>
      </c>
      <c r="B225" t="str">
        <f>"Sinf"</f>
        <v>Sinf</v>
      </c>
      <c r="C225" t="str">
        <f t="shared" si="24"/>
        <v>Ledarna</v>
      </c>
      <c r="D225" t="str">
        <f>""</f>
        <v/>
      </c>
    </row>
    <row r="226" spans="1:4" x14ac:dyDescent="0.35">
      <c r="A226" t="str">
        <f>"BEA"</f>
        <v>BEA</v>
      </c>
      <c r="B226" t="str">
        <f>"SKR - Sveriges Kommuner och Regioner"</f>
        <v>SKR - Sveriges Kommuner och Regioner</v>
      </c>
      <c r="C226" t="str">
        <f t="shared" si="24"/>
        <v>Ledarna</v>
      </c>
      <c r="D226" t="str">
        <f>""</f>
        <v/>
      </c>
    </row>
    <row r="227" spans="1:4" x14ac:dyDescent="0.35">
      <c r="A227" t="str">
        <f>"OFR - Allmän Kommunal verksamhet"</f>
        <v>OFR - Allmän Kommunal verksamhet</v>
      </c>
      <c r="B227" t="str">
        <f>"SKR - Sveriges Kommuner och Regioner"</f>
        <v>SKR - Sveriges Kommuner och Regioner</v>
      </c>
      <c r="C227" t="str">
        <f t="shared" si="24"/>
        <v>Ledarna</v>
      </c>
      <c r="D227" t="str">
        <f>"2025-03-31"</f>
        <v>2025-03-31</v>
      </c>
    </row>
    <row r="228" spans="1:4" x14ac:dyDescent="0.35">
      <c r="A228" t="str">
        <f>"BEA"</f>
        <v>BEA</v>
      </c>
      <c r="B228" t="str">
        <f t="shared" ref="B228:B235" si="25">"Sobona"</f>
        <v>Sobona</v>
      </c>
      <c r="C228" t="str">
        <f t="shared" si="24"/>
        <v>Ledarna</v>
      </c>
      <c r="D228" t="str">
        <f>""</f>
        <v/>
      </c>
    </row>
    <row r="229" spans="1:4" x14ac:dyDescent="0.35">
      <c r="A229" t="str">
        <f>"BÖK Trafik"</f>
        <v>BÖK Trafik</v>
      </c>
      <c r="B229" t="str">
        <f t="shared" si="25"/>
        <v>Sobona</v>
      </c>
      <c r="C229" t="str">
        <f t="shared" si="24"/>
        <v>Ledarna</v>
      </c>
      <c r="D229" t="str">
        <f>"2025-09-30"</f>
        <v>2025-09-30</v>
      </c>
    </row>
    <row r="230" spans="1:4" x14ac:dyDescent="0.35">
      <c r="A230" t="str">
        <f>"OFR - Allmän Kommunal verksamhet"</f>
        <v>OFR - Allmän Kommunal verksamhet</v>
      </c>
      <c r="B230" t="str">
        <f t="shared" si="25"/>
        <v>Sobona</v>
      </c>
      <c r="C230" t="str">
        <f t="shared" si="24"/>
        <v>Ledarna</v>
      </c>
      <c r="D230" t="str">
        <f t="shared" ref="D230:D235" si="26">"2025-03-31"</f>
        <v>2025-03-31</v>
      </c>
    </row>
    <row r="231" spans="1:4" x14ac:dyDescent="0.35">
      <c r="A231" t="str">
        <f>"BÖK Besöksnäring och Kulturarv"</f>
        <v>BÖK Besöksnäring och Kulturarv</v>
      </c>
      <c r="B231" t="str">
        <f t="shared" si="25"/>
        <v>Sobona</v>
      </c>
      <c r="C231" t="str">
        <f t="shared" si="24"/>
        <v>Ledarna</v>
      </c>
      <c r="D231" t="str">
        <f t="shared" si="26"/>
        <v>2025-03-31</v>
      </c>
    </row>
    <row r="232" spans="1:4" x14ac:dyDescent="0.35">
      <c r="A232" t="str">
        <f>"BÖK Vatten &amp; Miljö"</f>
        <v>BÖK Vatten &amp; Miljö</v>
      </c>
      <c r="B232" t="str">
        <f t="shared" si="25"/>
        <v>Sobona</v>
      </c>
      <c r="C232" t="str">
        <f t="shared" si="24"/>
        <v>Ledarna</v>
      </c>
      <c r="D232" t="str">
        <f t="shared" si="26"/>
        <v>2025-03-31</v>
      </c>
    </row>
    <row r="233" spans="1:4" x14ac:dyDescent="0.35">
      <c r="A233" t="str">
        <f>"BÖK Flygplatser"</f>
        <v>BÖK Flygplatser</v>
      </c>
      <c r="B233" t="str">
        <f t="shared" si="25"/>
        <v>Sobona</v>
      </c>
      <c r="C233" t="str">
        <f t="shared" si="24"/>
        <v>Ledarna</v>
      </c>
      <c r="D233" t="str">
        <f t="shared" si="26"/>
        <v>2025-03-31</v>
      </c>
    </row>
    <row r="234" spans="1:4" x14ac:dyDescent="0.35">
      <c r="A234" t="str">
        <f>"BÖK Energi"</f>
        <v>BÖK Energi</v>
      </c>
      <c r="B234" t="str">
        <f t="shared" si="25"/>
        <v>Sobona</v>
      </c>
      <c r="C234" t="str">
        <f t="shared" si="24"/>
        <v>Ledarna</v>
      </c>
      <c r="D234" t="str">
        <f t="shared" si="26"/>
        <v>2025-03-31</v>
      </c>
    </row>
    <row r="235" spans="1:4" x14ac:dyDescent="0.35">
      <c r="A235" t="str">
        <f>"BÖK Fastigheter"</f>
        <v>BÖK Fastigheter</v>
      </c>
      <c r="B235" t="str">
        <f t="shared" si="25"/>
        <v>Sobona</v>
      </c>
      <c r="C235" t="str">
        <f t="shared" si="24"/>
        <v>Ledarna</v>
      </c>
      <c r="D235" t="str">
        <f t="shared" si="26"/>
        <v>2025-03-31</v>
      </c>
    </row>
    <row r="236" spans="1:4" x14ac:dyDescent="0.35">
      <c r="A236" t="str">
        <f>"Ledaravtal"</f>
        <v>Ledaravtal</v>
      </c>
      <c r="B236" t="str">
        <f>"Svensk Handel"</f>
        <v>Svensk Handel</v>
      </c>
      <c r="C236" t="str">
        <f t="shared" si="24"/>
        <v>Ledarna</v>
      </c>
      <c r="D236" t="str">
        <f>""</f>
        <v/>
      </c>
    </row>
    <row r="237" spans="1:4" x14ac:dyDescent="0.35">
      <c r="A237" t="str">
        <f>"Ledaravtal"</f>
        <v>Ledaravtal</v>
      </c>
      <c r="B237" t="str">
        <f>"Svensk Scenkonst"</f>
        <v>Svensk Scenkonst</v>
      </c>
      <c r="C237" t="str">
        <f t="shared" si="24"/>
        <v>Ledarna</v>
      </c>
      <c r="D237" t="str">
        <f>""</f>
        <v/>
      </c>
    </row>
    <row r="238" spans="1:4" x14ac:dyDescent="0.35">
      <c r="A238" t="str">
        <f>"Tjänstemannaavtal"</f>
        <v>Tjänstemannaavtal</v>
      </c>
      <c r="B238" t="str">
        <f>"Svenska Flygbranschen"</f>
        <v>Svenska Flygbranschen</v>
      </c>
      <c r="C238" t="str">
        <f t="shared" si="24"/>
        <v>Ledarna</v>
      </c>
      <c r="D238" t="str">
        <f>""</f>
        <v/>
      </c>
    </row>
    <row r="239" spans="1:4" x14ac:dyDescent="0.35">
      <c r="A239" t="str">
        <f>"Tjänstemannaavtal"</f>
        <v>Tjänstemannaavtal</v>
      </c>
      <c r="B239" t="str">
        <f>"Sveriges Hamnar"</f>
        <v>Sveriges Hamnar</v>
      </c>
      <c r="C239" t="str">
        <f t="shared" si="24"/>
        <v>Ledarna</v>
      </c>
      <c r="D239" t="str">
        <f>""</f>
        <v/>
      </c>
    </row>
    <row r="240" spans="1:4" x14ac:dyDescent="0.35">
      <c r="A240" t="str">
        <f>"Tjänstemannaavtal"</f>
        <v>Tjänstemannaavtal</v>
      </c>
      <c r="B240" t="str">
        <f>"Sveriges Skorstensfejaremästares Riksförbund"</f>
        <v>Sveriges Skorstensfejaremästares Riksförbund</v>
      </c>
      <c r="C240" t="str">
        <f t="shared" si="24"/>
        <v>Ledarna</v>
      </c>
      <c r="D240" t="str">
        <f>""</f>
        <v/>
      </c>
    </row>
    <row r="241" spans="1:4" x14ac:dyDescent="0.35">
      <c r="A241" t="str">
        <f>"Säkerhetsföretagens Tjänstemannaavtal"</f>
        <v>Säkerhetsföretagens Tjänstemannaavtal</v>
      </c>
      <c r="B241" t="str">
        <f>"Säkerhetsföretagen (Almega)"</f>
        <v>Säkerhetsföretagen (Almega)</v>
      </c>
      <c r="C241" t="str">
        <f t="shared" si="24"/>
        <v>Ledarna</v>
      </c>
      <c r="D241" t="str">
        <f>"2025-04-30"</f>
        <v>2025-04-30</v>
      </c>
    </row>
    <row r="242" spans="1:4" x14ac:dyDescent="0.35">
      <c r="A242" t="str">
        <f>"Telekom"</f>
        <v>Telekom</v>
      </c>
      <c r="B242" t="str">
        <f>"TechSverige"</f>
        <v>TechSverige</v>
      </c>
      <c r="C242" t="str">
        <f t="shared" si="24"/>
        <v>Ledarna</v>
      </c>
      <c r="D242" t="str">
        <f>""</f>
        <v/>
      </c>
    </row>
    <row r="243" spans="1:4" x14ac:dyDescent="0.35">
      <c r="A243" t="str">
        <f>"Teknikavtal Tjänstemän"</f>
        <v>Teknikavtal Tjänstemän</v>
      </c>
      <c r="B243" t="str">
        <f>"Teknikarbetsgivarna"</f>
        <v>Teknikarbetsgivarna</v>
      </c>
      <c r="C243" t="str">
        <f t="shared" si="24"/>
        <v>Ledarna</v>
      </c>
      <c r="D243" t="str">
        <f>""</f>
        <v/>
      </c>
    </row>
    <row r="244" spans="1:4" x14ac:dyDescent="0.35">
      <c r="A244" t="str">
        <f>"Tjänstemannaavtal"</f>
        <v>Tjänstemannaavtal</v>
      </c>
      <c r="B244" t="str">
        <f>"TEKO, Sveriges Textil- och Modeföretag"</f>
        <v>TEKO, Sveriges Textil- och Modeföretag</v>
      </c>
      <c r="C244" t="str">
        <f t="shared" si="24"/>
        <v>Ledarna</v>
      </c>
      <c r="D244" t="str">
        <f>""</f>
        <v/>
      </c>
    </row>
    <row r="245" spans="1:4" x14ac:dyDescent="0.35">
      <c r="A245" t="str">
        <f>"Tjästemannaavtal"</f>
        <v>Tjästemannaavtal</v>
      </c>
      <c r="B245" t="str">
        <f>"TGA - TeknikGrossisternas Arbetsgivareförening"</f>
        <v>TGA - TeknikGrossisternas Arbetsgivareförening</v>
      </c>
      <c r="C245" t="str">
        <f t="shared" si="24"/>
        <v>Ledarna</v>
      </c>
      <c r="D245" t="str">
        <f>""</f>
        <v/>
      </c>
    </row>
    <row r="246" spans="1:4" x14ac:dyDescent="0.35">
      <c r="A246" t="str">
        <f>"Träindustri"</f>
        <v>Träindustri</v>
      </c>
      <c r="B246" t="str">
        <f>"Trä- och Möbelföretagen"</f>
        <v>Trä- och Möbelföretagen</v>
      </c>
      <c r="C246" t="str">
        <f t="shared" si="24"/>
        <v>Ledarna</v>
      </c>
      <c r="D246" t="str">
        <f>""</f>
        <v/>
      </c>
    </row>
    <row r="247" spans="1:4" x14ac:dyDescent="0.35">
      <c r="A247" t="str">
        <f>"Stoppmöbelindustri"</f>
        <v>Stoppmöbelindustri</v>
      </c>
      <c r="B247" t="str">
        <f>"Trä- och Möbelföretagen"</f>
        <v>Trä- och Möbelföretagen</v>
      </c>
      <c r="C247" t="str">
        <f t="shared" si="24"/>
        <v>Ledarna</v>
      </c>
      <c r="D247" t="str">
        <f>""</f>
        <v/>
      </c>
    </row>
    <row r="248" spans="1:4" x14ac:dyDescent="0.35">
      <c r="A248" t="str">
        <f>"Livsmedelsavtal"</f>
        <v>Livsmedelsavtal</v>
      </c>
      <c r="B248" t="str">
        <f>"Fremia"</f>
        <v>Fremia</v>
      </c>
      <c r="C248" t="str">
        <f t="shared" ref="C248:C256" si="27">"Livsmedelsarbetareförbundet"</f>
        <v>Livsmedelsarbetareförbundet</v>
      </c>
      <c r="D248" t="str">
        <f>"2025-03-31"</f>
        <v>2025-03-31</v>
      </c>
    </row>
    <row r="249" spans="1:4" x14ac:dyDescent="0.35">
      <c r="A249" t="str">
        <f>"Bemanningsavtalet"</f>
        <v>Bemanningsavtalet</v>
      </c>
      <c r="B249" t="str">
        <f>"Kompetensföretagen"</f>
        <v>Kompetensföretagen</v>
      </c>
      <c r="C249" t="str">
        <f t="shared" si="27"/>
        <v>Livsmedelsarbetareförbundet</v>
      </c>
      <c r="D249" t="str">
        <f>"2025-04-30"</f>
        <v>2025-04-30</v>
      </c>
    </row>
    <row r="250" spans="1:4" x14ac:dyDescent="0.35">
      <c r="A250" t="str">
        <f>"Livsmedelsavtal"</f>
        <v>Livsmedelsavtal</v>
      </c>
      <c r="B250" t="str">
        <f>"Livsmedelsföretagen"</f>
        <v>Livsmedelsföretagen</v>
      </c>
      <c r="C250" t="str">
        <f t="shared" si="27"/>
        <v>Livsmedelsarbetareförbundet</v>
      </c>
      <c r="D250" t="str">
        <f t="shared" ref="D250:D256" si="28">"2025-03-31"</f>
        <v>2025-03-31</v>
      </c>
    </row>
    <row r="251" spans="1:4" x14ac:dyDescent="0.35">
      <c r="A251" t="str">
        <f>"Vin- och spritindustri"</f>
        <v>Vin- och spritindustri</v>
      </c>
      <c r="B251" t="str">
        <f>"Livsmedelsföretagen"</f>
        <v>Livsmedelsföretagen</v>
      </c>
      <c r="C251" t="str">
        <f t="shared" si="27"/>
        <v>Livsmedelsarbetareförbundet</v>
      </c>
      <c r="D251" t="str">
        <f t="shared" si="28"/>
        <v>2025-03-31</v>
      </c>
    </row>
    <row r="252" spans="1:4" x14ac:dyDescent="0.35">
      <c r="A252" t="str">
        <f>"Tobaksindustri"</f>
        <v>Tobaksindustri</v>
      </c>
      <c r="B252" t="str">
        <f>"Livsmedelsföretagen"</f>
        <v>Livsmedelsföretagen</v>
      </c>
      <c r="C252" t="str">
        <f t="shared" si="27"/>
        <v>Livsmedelsarbetareförbundet</v>
      </c>
      <c r="D252" t="str">
        <f t="shared" si="28"/>
        <v>2025-03-31</v>
      </c>
    </row>
    <row r="253" spans="1:4" x14ac:dyDescent="0.35">
      <c r="A253" t="str">
        <f>"Kafferosterier och kryddfabriker"</f>
        <v>Kafferosterier och kryddfabriker</v>
      </c>
      <c r="B253" t="str">
        <f>"Livsmedelsföretagen"</f>
        <v>Livsmedelsföretagen</v>
      </c>
      <c r="C253" t="str">
        <f t="shared" si="27"/>
        <v>Livsmedelsarbetareförbundet</v>
      </c>
      <c r="D253" t="str">
        <f t="shared" si="28"/>
        <v>2025-03-31</v>
      </c>
    </row>
    <row r="254" spans="1:4" x14ac:dyDescent="0.35">
      <c r="A254" t="str">
        <f>"Tunnbröd"</f>
        <v>Tunnbröd</v>
      </c>
      <c r="B254" t="str">
        <f>"Sinf"</f>
        <v>Sinf</v>
      </c>
      <c r="C254" t="str">
        <f t="shared" si="27"/>
        <v>Livsmedelsarbetareförbundet</v>
      </c>
      <c r="D254" t="str">
        <f t="shared" si="28"/>
        <v>2025-03-31</v>
      </c>
    </row>
    <row r="255" spans="1:4" x14ac:dyDescent="0.35">
      <c r="A255" t="str">
        <f>"Sötvaruavtalet"</f>
        <v>Sötvaruavtalet</v>
      </c>
      <c r="B255" t="str">
        <f>"Sinf"</f>
        <v>Sinf</v>
      </c>
      <c r="C255" t="str">
        <f t="shared" si="27"/>
        <v>Livsmedelsarbetareförbundet</v>
      </c>
      <c r="D255" t="str">
        <f t="shared" si="28"/>
        <v>2025-03-31</v>
      </c>
    </row>
    <row r="256" spans="1:4" x14ac:dyDescent="0.35">
      <c r="A256" t="str">
        <f>"Spisbröd"</f>
        <v>Spisbröd</v>
      </c>
      <c r="B256" t="str">
        <f>"Sinf"</f>
        <v>Sinf</v>
      </c>
      <c r="C256" t="str">
        <f t="shared" si="27"/>
        <v>Livsmedelsarbetareförbundet</v>
      </c>
      <c r="D256" t="str">
        <f t="shared" si="28"/>
        <v>2025-03-31</v>
      </c>
    </row>
    <row r="257" spans="1:4" x14ac:dyDescent="0.35">
      <c r="A257" t="str">
        <f>"Musiker, musikartister och diskjockeys"</f>
        <v>Musiker, musikartister och diskjockeys</v>
      </c>
      <c r="B257" t="str">
        <f>"Fremia"</f>
        <v>Fremia</v>
      </c>
      <c r="C257" t="str">
        <f>"Musikerförbundet"</f>
        <v>Musikerförbundet</v>
      </c>
      <c r="D257" t="str">
        <f>"2020-10-31"</f>
        <v>2020-10-31</v>
      </c>
    </row>
    <row r="258" spans="1:4" x14ac:dyDescent="0.35">
      <c r="A258" t="str">
        <f>"Bemanningsavtalet"</f>
        <v>Bemanningsavtalet</v>
      </c>
      <c r="B258" t="str">
        <f>"Kompetensföretagen"</f>
        <v>Kompetensföretagen</v>
      </c>
      <c r="C258" t="str">
        <f>"Musikerförbundet"</f>
        <v>Musikerförbundet</v>
      </c>
      <c r="D258" t="str">
        <f>"2025-04-30"</f>
        <v>2025-04-30</v>
      </c>
    </row>
    <row r="259" spans="1:4" x14ac:dyDescent="0.35">
      <c r="A259" t="str">
        <f>"Musiker, korister och repetitörer vid Orkesterföretag m fl."</f>
        <v>Musiker, korister och repetitörer vid Orkesterföretag m fl.</v>
      </c>
      <c r="B259" t="str">
        <f>"Svensk Scenkonst"</f>
        <v>Svensk Scenkonst</v>
      </c>
      <c r="C259" t="str">
        <f>"Musikerförbundet"</f>
        <v>Musikerförbundet</v>
      </c>
      <c r="D259" t="str">
        <f>"2025-03-31"</f>
        <v>2025-03-31</v>
      </c>
    </row>
    <row r="260" spans="1:4" x14ac:dyDescent="0.35">
      <c r="A260" t="str">
        <f>"Musikeravtal"</f>
        <v>Musikeravtal</v>
      </c>
      <c r="B260" t="str">
        <f>"Visita"</f>
        <v>Visita</v>
      </c>
      <c r="C260" t="str">
        <f>"Musikerförbundet"</f>
        <v>Musikerförbundet</v>
      </c>
      <c r="D260" t="str">
        <f>"2020-12-31"</f>
        <v>2020-12-31</v>
      </c>
    </row>
    <row r="261" spans="1:4" x14ac:dyDescent="0.35">
      <c r="A261" t="str">
        <f>"Tjänstemannaavtal Skogsbruk"</f>
        <v>Tjänstemannaavtal Skogsbruk</v>
      </c>
      <c r="B261" t="str">
        <f>"Gröna arbetsgivare"</f>
        <v>Gröna arbetsgivare</v>
      </c>
      <c r="C261" t="str">
        <f>"Naturvetarna"</f>
        <v>Naturvetarna</v>
      </c>
      <c r="D261" t="str">
        <f>"2025-03-31"</f>
        <v>2025-03-31</v>
      </c>
    </row>
    <row r="262" spans="1:4" x14ac:dyDescent="0.35">
      <c r="A262" t="str">
        <f>"Tjänstemän inom Hushållningssällskap och Husdjursföreningar"</f>
        <v>Tjänstemän inom Hushållningssällskap och Husdjursföreningar</v>
      </c>
      <c r="B262" t="str">
        <f>"Gröna arbetsgivare"</f>
        <v>Gröna arbetsgivare</v>
      </c>
      <c r="C262" t="str">
        <f>"Naturvetarna"</f>
        <v>Naturvetarna</v>
      </c>
      <c r="D262" t="str">
        <f>"2025-05-31"</f>
        <v>2025-05-31</v>
      </c>
    </row>
    <row r="263" spans="1:4" x14ac:dyDescent="0.35">
      <c r="A263" t="str">
        <f>"Tjänstemannaavtal inom Trädgårdsodling och Trädgårdsanläggning"</f>
        <v>Tjänstemannaavtal inom Trädgårdsodling och Trädgårdsanläggning</v>
      </c>
      <c r="B263" t="str">
        <f>"Gröna arbetsgivare"</f>
        <v>Gröna arbetsgivare</v>
      </c>
      <c r="C263" t="str">
        <f>"Naturvetarna"</f>
        <v>Naturvetarna</v>
      </c>
      <c r="D263" t="str">
        <f>"2025-05-31"</f>
        <v>2025-05-31</v>
      </c>
    </row>
    <row r="264" spans="1:4" x14ac:dyDescent="0.35">
      <c r="A264" t="str">
        <f>"Tjänstemän inom Jordbruksrelaterade företag"</f>
        <v>Tjänstemän inom Jordbruksrelaterade företag</v>
      </c>
      <c r="B264" t="str">
        <f>"Gröna arbetsgivare"</f>
        <v>Gröna arbetsgivare</v>
      </c>
      <c r="C264" t="str">
        <f>"Naturvetarna"</f>
        <v>Naturvetarna</v>
      </c>
      <c r="D264" t="str">
        <f>"2025-05-31"</f>
        <v>2025-05-31</v>
      </c>
    </row>
    <row r="265" spans="1:4" x14ac:dyDescent="0.35">
      <c r="A265" t="str">
        <f>"Tjänstemannaavtal"</f>
        <v>Tjänstemannaavtal</v>
      </c>
      <c r="B265" t="str">
        <f>"IKEM – Innovations-och kemiarbetsgivarna"</f>
        <v>IKEM – Innovations-och kemiarbetsgivarna</v>
      </c>
      <c r="C265" t="str">
        <f>"Naturvetarna"</f>
        <v>Naturvetarna</v>
      </c>
      <c r="D265" t="str">
        <f>"2025-03-31"</f>
        <v>2025-03-31</v>
      </c>
    </row>
    <row r="266" spans="1:4" x14ac:dyDescent="0.35">
      <c r="A266" t="str">
        <f>"RALS"</f>
        <v>RALS</v>
      </c>
      <c r="B266" t="str">
        <f>"Arbetsgivarverket"</f>
        <v>Arbetsgivarverket</v>
      </c>
      <c r="C266" t="str">
        <f>"OFR S,P,O"</f>
        <v>OFR S,P,O</v>
      </c>
      <c r="D266" t="str">
        <f>"2025-09-30"</f>
        <v>2025-09-30</v>
      </c>
    </row>
    <row r="267" spans="1:4" x14ac:dyDescent="0.35">
      <c r="A267" t="str">
        <f>"RALS"</f>
        <v>RALS</v>
      </c>
      <c r="B267" t="str">
        <f>"Arbetsgivarverket"</f>
        <v>Arbetsgivarverket</v>
      </c>
      <c r="C267" t="str">
        <f>"Saco-S"</f>
        <v>Saco-S</v>
      </c>
      <c r="D267" t="str">
        <f>""</f>
        <v/>
      </c>
    </row>
    <row r="268" spans="1:4" x14ac:dyDescent="0.35">
      <c r="A268" t="str">
        <f>"Biografavtal"</f>
        <v>Biografavtal</v>
      </c>
      <c r="B268" t="str">
        <f>"Fremia"</f>
        <v>Fremia</v>
      </c>
      <c r="C268" t="str">
        <f t="shared" ref="C268:C286" si="29">"Scen&amp;Film"</f>
        <v>Scen&amp;Film</v>
      </c>
      <c r="D268" t="str">
        <f>"2023-05-31"</f>
        <v>2023-05-31</v>
      </c>
    </row>
    <row r="269" spans="1:4" x14ac:dyDescent="0.35">
      <c r="A269" t="str">
        <f>"Cirkelledare"</f>
        <v>Cirkelledare</v>
      </c>
      <c r="B269" t="str">
        <f>"Fremia"</f>
        <v>Fremia</v>
      </c>
      <c r="C269" t="str">
        <f t="shared" si="29"/>
        <v>Scen&amp;Film</v>
      </c>
      <c r="D269" t="str">
        <f>"2025-08-31"</f>
        <v>2025-08-31</v>
      </c>
    </row>
    <row r="270" spans="1:4" x14ac:dyDescent="0.35">
      <c r="A270" t="str">
        <f>"Inläsare av talböcker"</f>
        <v>Inläsare av talböcker</v>
      </c>
      <c r="B270" t="str">
        <f>"Medieföretagen"</f>
        <v>Medieföretagen</v>
      </c>
      <c r="C270" t="str">
        <f t="shared" si="29"/>
        <v>Scen&amp;Film</v>
      </c>
      <c r="D270" t="str">
        <f>"2025-04-30"</f>
        <v>2025-04-30</v>
      </c>
    </row>
    <row r="271" spans="1:4" x14ac:dyDescent="0.35">
      <c r="A271" t="str">
        <f>"Biografavtalet"</f>
        <v>Biografavtalet</v>
      </c>
      <c r="B271" t="str">
        <f>"Medieföretagen"</f>
        <v>Medieföretagen</v>
      </c>
      <c r="C271" t="str">
        <f t="shared" si="29"/>
        <v>Scen&amp;Film</v>
      </c>
      <c r="D271" t="str">
        <f>"2025-05-31"</f>
        <v>2025-05-31</v>
      </c>
    </row>
    <row r="272" spans="1:4" x14ac:dyDescent="0.35">
      <c r="A272" t="str">
        <f>"Film, TV och Videoavtal"</f>
        <v>Film, TV och Videoavtal</v>
      </c>
      <c r="B272" t="str">
        <f>"Medieföretagen"</f>
        <v>Medieföretagen</v>
      </c>
      <c r="C272" t="str">
        <f t="shared" si="29"/>
        <v>Scen&amp;Film</v>
      </c>
      <c r="D272" t="str">
        <f>"2025-05-31"</f>
        <v>2025-05-31</v>
      </c>
    </row>
    <row r="273" spans="1:4" x14ac:dyDescent="0.35">
      <c r="A273" t="str">
        <f>"BEA"</f>
        <v>BEA</v>
      </c>
      <c r="B273" t="str">
        <f>"SKR - Sveriges Kommuner och Regioner"</f>
        <v>SKR - Sveriges Kommuner och Regioner</v>
      </c>
      <c r="C273" t="str">
        <f t="shared" si="29"/>
        <v>Scen&amp;Film</v>
      </c>
      <c r="D273" t="str">
        <f>""</f>
        <v/>
      </c>
    </row>
    <row r="274" spans="1:4" x14ac:dyDescent="0.35">
      <c r="A274" t="str">
        <f>"OFR - Allmän Kommunal verksamhet"</f>
        <v>OFR - Allmän Kommunal verksamhet</v>
      </c>
      <c r="B274" t="str">
        <f>"SKR - Sveriges Kommuner och Regioner"</f>
        <v>SKR - Sveriges Kommuner och Regioner</v>
      </c>
      <c r="C274" t="str">
        <f t="shared" si="29"/>
        <v>Scen&amp;Film</v>
      </c>
      <c r="D274" t="str">
        <f>"2025-03-31"</f>
        <v>2025-03-31</v>
      </c>
    </row>
    <row r="275" spans="1:4" x14ac:dyDescent="0.35">
      <c r="A275" t="str">
        <f>"BEA"</f>
        <v>BEA</v>
      </c>
      <c r="B275" t="str">
        <f t="shared" ref="B275:B282" si="30">"Sobona"</f>
        <v>Sobona</v>
      </c>
      <c r="C275" t="str">
        <f t="shared" si="29"/>
        <v>Scen&amp;Film</v>
      </c>
      <c r="D275" t="str">
        <f>""</f>
        <v/>
      </c>
    </row>
    <row r="276" spans="1:4" x14ac:dyDescent="0.35">
      <c r="A276" t="str">
        <f>"BÖK Trafik"</f>
        <v>BÖK Trafik</v>
      </c>
      <c r="B276" t="str">
        <f t="shared" si="30"/>
        <v>Sobona</v>
      </c>
      <c r="C276" t="str">
        <f t="shared" si="29"/>
        <v>Scen&amp;Film</v>
      </c>
      <c r="D276" t="str">
        <f>"2025-09-30"</f>
        <v>2025-09-30</v>
      </c>
    </row>
    <row r="277" spans="1:4" x14ac:dyDescent="0.35">
      <c r="A277" t="str">
        <f>"OFR - Allmän Kommunal verksamhet"</f>
        <v>OFR - Allmän Kommunal verksamhet</v>
      </c>
      <c r="B277" t="str">
        <f t="shared" si="30"/>
        <v>Sobona</v>
      </c>
      <c r="C277" t="str">
        <f t="shared" si="29"/>
        <v>Scen&amp;Film</v>
      </c>
      <c r="D277" t="str">
        <f t="shared" ref="D277:D286" si="31">"2025-03-31"</f>
        <v>2025-03-31</v>
      </c>
    </row>
    <row r="278" spans="1:4" x14ac:dyDescent="0.35">
      <c r="A278" t="str">
        <f>"BÖK Besöksnäring och Kulturarv"</f>
        <v>BÖK Besöksnäring och Kulturarv</v>
      </c>
      <c r="B278" t="str">
        <f t="shared" si="30"/>
        <v>Sobona</v>
      </c>
      <c r="C278" t="str">
        <f t="shared" si="29"/>
        <v>Scen&amp;Film</v>
      </c>
      <c r="D278" t="str">
        <f t="shared" si="31"/>
        <v>2025-03-31</v>
      </c>
    </row>
    <row r="279" spans="1:4" x14ac:dyDescent="0.35">
      <c r="A279" t="str">
        <f>"BÖK Vatten &amp; Miljö"</f>
        <v>BÖK Vatten &amp; Miljö</v>
      </c>
      <c r="B279" t="str">
        <f t="shared" si="30"/>
        <v>Sobona</v>
      </c>
      <c r="C279" t="str">
        <f t="shared" si="29"/>
        <v>Scen&amp;Film</v>
      </c>
      <c r="D279" t="str">
        <f t="shared" si="31"/>
        <v>2025-03-31</v>
      </c>
    </row>
    <row r="280" spans="1:4" x14ac:dyDescent="0.35">
      <c r="A280" t="str">
        <f>"BÖK Flygplatser"</f>
        <v>BÖK Flygplatser</v>
      </c>
      <c r="B280" t="str">
        <f t="shared" si="30"/>
        <v>Sobona</v>
      </c>
      <c r="C280" t="str">
        <f t="shared" si="29"/>
        <v>Scen&amp;Film</v>
      </c>
      <c r="D280" t="str">
        <f t="shared" si="31"/>
        <v>2025-03-31</v>
      </c>
    </row>
    <row r="281" spans="1:4" x14ac:dyDescent="0.35">
      <c r="A281" t="str">
        <f>"BÖK Energi"</f>
        <v>BÖK Energi</v>
      </c>
      <c r="B281" t="str">
        <f t="shared" si="30"/>
        <v>Sobona</v>
      </c>
      <c r="C281" t="str">
        <f t="shared" si="29"/>
        <v>Scen&amp;Film</v>
      </c>
      <c r="D281" t="str">
        <f t="shared" si="31"/>
        <v>2025-03-31</v>
      </c>
    </row>
    <row r="282" spans="1:4" x14ac:dyDescent="0.35">
      <c r="A282" t="str">
        <f>"BÖK Fastigheter"</f>
        <v>BÖK Fastigheter</v>
      </c>
      <c r="B282" t="str">
        <f t="shared" si="30"/>
        <v>Sobona</v>
      </c>
      <c r="C282" t="str">
        <f t="shared" si="29"/>
        <v>Scen&amp;Film</v>
      </c>
      <c r="D282" t="str">
        <f t="shared" si="31"/>
        <v>2025-03-31</v>
      </c>
    </row>
    <row r="283" spans="1:4" x14ac:dyDescent="0.35">
      <c r="A283" t="str">
        <f>"Riksavtal för anställda vid offentligt finansierade teaterinstitutioner"</f>
        <v>Riksavtal för anställda vid offentligt finansierade teaterinstitutioner</v>
      </c>
      <c r="B283" t="str">
        <f>"Svensk Scenkonst"</f>
        <v>Svensk Scenkonst</v>
      </c>
      <c r="C283" t="str">
        <f t="shared" si="29"/>
        <v>Scen&amp;Film</v>
      </c>
      <c r="D283" t="str">
        <f t="shared" si="31"/>
        <v>2025-03-31</v>
      </c>
    </row>
    <row r="284" spans="1:4" x14ac:dyDescent="0.35">
      <c r="A284" t="str">
        <f>"Fria professionella danskompanier och koreografer"</f>
        <v>Fria professionella danskompanier och koreografer</v>
      </c>
      <c r="B284" t="str">
        <f>"Svensk Scenkonst"</f>
        <v>Svensk Scenkonst</v>
      </c>
      <c r="C284" t="str">
        <f t="shared" si="29"/>
        <v>Scen&amp;Film</v>
      </c>
      <c r="D284" t="str">
        <f t="shared" si="31"/>
        <v>2025-03-31</v>
      </c>
    </row>
    <row r="285" spans="1:4" x14ac:dyDescent="0.35">
      <c r="A285" t="str">
        <f>"Friateateravtalet"</f>
        <v>Friateateravtalet</v>
      </c>
      <c r="B285" t="str">
        <f>"Svensk Scenkonst"</f>
        <v>Svensk Scenkonst</v>
      </c>
      <c r="C285" t="str">
        <f t="shared" si="29"/>
        <v>Scen&amp;Film</v>
      </c>
      <c r="D285" t="str">
        <f t="shared" si="31"/>
        <v>2025-03-31</v>
      </c>
    </row>
    <row r="286" spans="1:4" x14ac:dyDescent="0.35">
      <c r="A286" t="str">
        <f>"Privatteatrar"</f>
        <v>Privatteatrar</v>
      </c>
      <c r="B286" t="str">
        <f>"Svensk Scenkonst"</f>
        <v>Svensk Scenkonst</v>
      </c>
      <c r="C286" t="str">
        <f t="shared" si="29"/>
        <v>Scen&amp;Film</v>
      </c>
      <c r="D286" t="str">
        <f t="shared" si="31"/>
        <v>2025-03-31</v>
      </c>
    </row>
    <row r="287" spans="1:4" x14ac:dyDescent="0.35">
      <c r="A287" t="str">
        <f>"Värdepapper"</f>
        <v>Värdepapper</v>
      </c>
      <c r="B287" t="str">
        <f t="shared" ref="B287:B293" si="32">"Almega Tjänsteförbunden"</f>
        <v>Almega Tjänsteförbunden</v>
      </c>
      <c r="C287" t="str">
        <f t="shared" ref="C287:C308" si="33">"Seko, Service- och kommunikationsfacket"</f>
        <v>Seko, Service- och kommunikationsfacket</v>
      </c>
      <c r="D287" t="str">
        <f>"2025-05-31"</f>
        <v>2025-05-31</v>
      </c>
    </row>
    <row r="288" spans="1:4" x14ac:dyDescent="0.35">
      <c r="A288" t="str">
        <f>"Fastigheter"</f>
        <v>Fastigheter</v>
      </c>
      <c r="B288" t="str">
        <f t="shared" si="32"/>
        <v>Almega Tjänsteförbunden</v>
      </c>
      <c r="C288" t="str">
        <f t="shared" si="33"/>
        <v>Seko, Service- och kommunikationsfacket</v>
      </c>
      <c r="D288" t="str">
        <f>"2025-05-31"</f>
        <v>2025-05-31</v>
      </c>
    </row>
    <row r="289" spans="1:4" x14ac:dyDescent="0.35">
      <c r="A289" t="str">
        <f>"Dalslands Kanal AB"</f>
        <v>Dalslands Kanal AB</v>
      </c>
      <c r="B289" t="str">
        <f t="shared" si="32"/>
        <v>Almega Tjänsteförbunden</v>
      </c>
      <c r="C289" t="str">
        <f t="shared" si="33"/>
        <v>Seko, Service- och kommunikationsfacket</v>
      </c>
      <c r="D289" t="str">
        <f>"2025-04-30"</f>
        <v>2025-04-30</v>
      </c>
    </row>
    <row r="290" spans="1:4" x14ac:dyDescent="0.35">
      <c r="A290" t="str">
        <f>"Göta Kanal AB"</f>
        <v>Göta Kanal AB</v>
      </c>
      <c r="B290" t="str">
        <f t="shared" si="32"/>
        <v>Almega Tjänsteförbunden</v>
      </c>
      <c r="C290" t="str">
        <f t="shared" si="33"/>
        <v>Seko, Service- och kommunikationsfacket</v>
      </c>
      <c r="D290" t="str">
        <f>"2025-03-31"</f>
        <v>2025-03-31</v>
      </c>
    </row>
    <row r="291" spans="1:4" x14ac:dyDescent="0.35">
      <c r="A291" t="str">
        <f>"Serviceentreprenad"</f>
        <v>Serviceentreprenad</v>
      </c>
      <c r="B291" t="str">
        <f t="shared" si="32"/>
        <v>Almega Tjänsteförbunden</v>
      </c>
      <c r="C291" t="str">
        <f t="shared" si="33"/>
        <v>Seko, Service- och kommunikationsfacket</v>
      </c>
      <c r="D291" t="str">
        <f>"2025-05-31"</f>
        <v>2025-05-31</v>
      </c>
    </row>
    <row r="292" spans="1:4" x14ac:dyDescent="0.35">
      <c r="A292" t="str">
        <f>"Kommunikation"</f>
        <v>Kommunikation</v>
      </c>
      <c r="B292" t="str">
        <f t="shared" si="32"/>
        <v>Almega Tjänsteförbunden</v>
      </c>
      <c r="C292" t="str">
        <f t="shared" si="33"/>
        <v>Seko, Service- och kommunikationsfacket</v>
      </c>
      <c r="D292" t="str">
        <f>"2025-07-31"</f>
        <v>2025-07-31</v>
      </c>
    </row>
    <row r="293" spans="1:4" x14ac:dyDescent="0.35">
      <c r="A293" t="str">
        <f>"Järnvägsinfrastruktur"</f>
        <v>Järnvägsinfrastruktur</v>
      </c>
      <c r="B293" t="str">
        <f t="shared" si="32"/>
        <v>Almega Tjänsteförbunden</v>
      </c>
      <c r="C293" t="str">
        <f t="shared" si="33"/>
        <v>Seko, Service- och kommunikationsfacket</v>
      </c>
      <c r="D293" t="str">
        <f>"2025-04-30"</f>
        <v>2025-04-30</v>
      </c>
    </row>
    <row r="294" spans="1:4" x14ac:dyDescent="0.35">
      <c r="A294" t="str">
        <f>"Skärgård Bransch Turism och Sjöfart"</f>
        <v>Skärgård Bransch Turism och Sjöfart</v>
      </c>
      <c r="B294" t="str">
        <f>"Almega Tjänsteföretagen"</f>
        <v>Almega Tjänsteföretagen</v>
      </c>
      <c r="C294" t="str">
        <f t="shared" si="33"/>
        <v>Seko, Service- och kommunikationsfacket</v>
      </c>
      <c r="D294" t="str">
        <f>"2025-09-30"</f>
        <v>2025-09-30</v>
      </c>
    </row>
    <row r="295" spans="1:4" x14ac:dyDescent="0.35">
      <c r="A295" t="str">
        <f>"RALS"</f>
        <v>RALS</v>
      </c>
      <c r="B295" t="str">
        <f>"Arbetsgivarverket"</f>
        <v>Arbetsgivarverket</v>
      </c>
      <c r="C295" t="str">
        <f t="shared" si="33"/>
        <v>Seko, Service- och kommunikationsfacket</v>
      </c>
      <c r="D295" t="str">
        <f>"2025-09-30"</f>
        <v>2025-09-30</v>
      </c>
    </row>
    <row r="296" spans="1:4" x14ac:dyDescent="0.35">
      <c r="A296" t="str">
        <f>"Väg- och Banavtalet"</f>
        <v>Väg- och Banavtalet</v>
      </c>
      <c r="B296" t="str">
        <f>"Byggföretagen"</f>
        <v>Byggföretagen</v>
      </c>
      <c r="C296" t="str">
        <f t="shared" si="33"/>
        <v>Seko, Service- och kommunikationsfacket</v>
      </c>
      <c r="D296" t="str">
        <f>"2025-04-30"</f>
        <v>2025-04-30</v>
      </c>
    </row>
    <row r="297" spans="1:4" x14ac:dyDescent="0.35">
      <c r="A297" t="str">
        <f>"Energiavtal"</f>
        <v>Energiavtal</v>
      </c>
      <c r="B297" t="str">
        <f>"EnergiFöretagens Arbetsgivareförening EFA"</f>
        <v>EnergiFöretagens Arbetsgivareförening EFA</v>
      </c>
      <c r="C297" t="str">
        <f t="shared" si="33"/>
        <v>Seko, Service- och kommunikationsfacket</v>
      </c>
      <c r="D297" t="str">
        <f>"2025-03-31"</f>
        <v>2025-03-31</v>
      </c>
    </row>
    <row r="298" spans="1:4" x14ac:dyDescent="0.35">
      <c r="A298" t="str">
        <f>"Samhall LO-förbund"</f>
        <v>Samhall LO-förbund</v>
      </c>
      <c r="B298" t="str">
        <f>"Fremia"</f>
        <v>Fremia</v>
      </c>
      <c r="C298" t="str">
        <f t="shared" si="33"/>
        <v>Seko, Service- och kommunikationsfacket</v>
      </c>
      <c r="D298" t="str">
        <f>"2025-09-30"</f>
        <v>2025-09-30</v>
      </c>
    </row>
    <row r="299" spans="1:4" x14ac:dyDescent="0.35">
      <c r="A299" t="str">
        <f>"Blåa avtalet"</f>
        <v>Blåa avtalet</v>
      </c>
      <c r="B299" t="str">
        <f>"Industriarbetsgivarna (Stål och Metall)"</f>
        <v>Industriarbetsgivarna (Stål och Metall)</v>
      </c>
      <c r="C299" t="str">
        <f t="shared" si="33"/>
        <v>Seko, Service- och kommunikationsfacket</v>
      </c>
      <c r="D299" t="str">
        <f>"2025-05-31"</f>
        <v>2025-05-31</v>
      </c>
    </row>
    <row r="300" spans="1:4" x14ac:dyDescent="0.35">
      <c r="A300" t="str">
        <f>"Larm- och Säkerhetsavtalet"</f>
        <v>Larm- och Säkerhetsavtalet</v>
      </c>
      <c r="B300" t="str">
        <f>"Installatörsföretagen"</f>
        <v>Installatörsföretagen</v>
      </c>
      <c r="C300" t="str">
        <f t="shared" si="33"/>
        <v>Seko, Service- och kommunikationsfacket</v>
      </c>
      <c r="D300" t="str">
        <f>"2025-05-31"</f>
        <v>2025-05-31</v>
      </c>
    </row>
    <row r="301" spans="1:4" x14ac:dyDescent="0.35">
      <c r="A301" t="str">
        <f>"Telekom"</f>
        <v>Telekom</v>
      </c>
      <c r="B301" t="str">
        <f>"Installatörsföretagen"</f>
        <v>Installatörsföretagen</v>
      </c>
      <c r="C301" t="str">
        <f t="shared" si="33"/>
        <v>Seko, Service- och kommunikationsfacket</v>
      </c>
      <c r="D301" t="str">
        <f>"2025-03-31"</f>
        <v>2025-03-31</v>
      </c>
    </row>
    <row r="302" spans="1:4" x14ac:dyDescent="0.35">
      <c r="A302" t="str">
        <f>"Bemanningsavtalet"</f>
        <v>Bemanningsavtalet</v>
      </c>
      <c r="B302" t="str">
        <f>"Kompetensföretagen"</f>
        <v>Kompetensföretagen</v>
      </c>
      <c r="C302" t="str">
        <f t="shared" si="33"/>
        <v>Seko, Service- och kommunikationsfacket</v>
      </c>
      <c r="D302" t="str">
        <f>"2025-04-30"</f>
        <v>2025-04-30</v>
      </c>
    </row>
    <row r="303" spans="1:4" x14ac:dyDescent="0.35">
      <c r="A303" t="str">
        <f>"Maskinföraravtalet"</f>
        <v>Maskinföraravtalet</v>
      </c>
      <c r="B303" t="str">
        <f>"Maskinentreprenörerna"</f>
        <v>Maskinentreprenörerna</v>
      </c>
      <c r="C303" t="str">
        <f t="shared" si="33"/>
        <v>Seko, Service- och kommunikationsfacket</v>
      </c>
      <c r="D303" t="str">
        <f>"2025-05-31"</f>
        <v>2025-05-31</v>
      </c>
    </row>
    <row r="304" spans="1:4" x14ac:dyDescent="0.35">
      <c r="A304" t="str">
        <f>"Ombordanställda"</f>
        <v>Ombordanställda</v>
      </c>
      <c r="B304" t="str">
        <f>"Sjöfartens Arbetsgivareförbund"</f>
        <v>Sjöfartens Arbetsgivareförbund</v>
      </c>
      <c r="C304" t="str">
        <f t="shared" si="33"/>
        <v>Seko, Service- och kommunikationsfacket</v>
      </c>
      <c r="D304" t="str">
        <f>"2025-03-31"</f>
        <v>2025-03-31</v>
      </c>
    </row>
    <row r="305" spans="1:4" x14ac:dyDescent="0.35">
      <c r="A305" t="str">
        <f>"BÖK Flygplatser"</f>
        <v>BÖK Flygplatser</v>
      </c>
      <c r="B305" t="str">
        <f>"Sobona"</f>
        <v>Sobona</v>
      </c>
      <c r="C305" t="str">
        <f t="shared" si="33"/>
        <v>Seko, Service- och kommunikationsfacket</v>
      </c>
      <c r="D305" t="str">
        <f>"2025-03-31"</f>
        <v>2025-03-31</v>
      </c>
    </row>
    <row r="306" spans="1:4" x14ac:dyDescent="0.35">
      <c r="A306" t="str">
        <f>"BÖK Energi"</f>
        <v>BÖK Energi</v>
      </c>
      <c r="B306" t="str">
        <f>"Sobona"</f>
        <v>Sobona</v>
      </c>
      <c r="C306" t="str">
        <f t="shared" si="33"/>
        <v>Seko, Service- och kommunikationsfacket</v>
      </c>
      <c r="D306" t="str">
        <f>"2025-03-31"</f>
        <v>2025-03-31</v>
      </c>
    </row>
    <row r="307" spans="1:4" x14ac:dyDescent="0.35">
      <c r="A307" t="str">
        <f>"Telekom"</f>
        <v>Telekom</v>
      </c>
      <c r="B307" t="str">
        <f>"TechSverige"</f>
        <v>TechSverige</v>
      </c>
      <c r="C307" t="str">
        <f t="shared" si="33"/>
        <v>Seko, Service- och kommunikationsfacket</v>
      </c>
      <c r="D307" t="str">
        <f>"2025-03-31"</f>
        <v>2025-03-31</v>
      </c>
    </row>
    <row r="308" spans="1:4" x14ac:dyDescent="0.35">
      <c r="A308" t="str">
        <f>"Spårtrafik"</f>
        <v>Spårtrafik</v>
      </c>
      <c r="B308" t="str">
        <f>"Tågföretagen"</f>
        <v>Tågföretagen</v>
      </c>
      <c r="C308" t="str">
        <f t="shared" si="33"/>
        <v>Seko, Service- och kommunikationsfacket</v>
      </c>
      <c r="D308" t="str">
        <f>"2025-04-30"</f>
        <v>2025-04-30</v>
      </c>
    </row>
    <row r="309" spans="1:4" x14ac:dyDescent="0.35">
      <c r="A309" t="str">
        <f>"Turism och sjöfart"</f>
        <v>Turism och sjöfart</v>
      </c>
      <c r="B309" t="str">
        <f>"Almega Tjänsteföretagen"</f>
        <v>Almega Tjänsteföretagen</v>
      </c>
      <c r="C309" t="str">
        <f>"Sjöbefälsföreningen"</f>
        <v>Sjöbefälsföreningen</v>
      </c>
      <c r="D309" t="str">
        <f>"2024-12-31"</f>
        <v>2024-12-31</v>
      </c>
    </row>
    <row r="310" spans="1:4" x14ac:dyDescent="0.35">
      <c r="A310" t="str">
        <f>"Sjöbefäl"</f>
        <v>Sjöbefäl</v>
      </c>
      <c r="B310" t="str">
        <f>"Sjöfartens Arbetsgivareförbund"</f>
        <v>Sjöfartens Arbetsgivareförbund</v>
      </c>
      <c r="C310" t="str">
        <f>"Sjöbefälsföreningen"</f>
        <v>Sjöbefälsföreningen</v>
      </c>
      <c r="D310" t="str">
        <f>"2025-01-31"</f>
        <v>2025-01-31</v>
      </c>
    </row>
    <row r="311" spans="1:4" x14ac:dyDescent="0.35">
      <c r="A311" t="str">
        <f>"Kommunikation"</f>
        <v>Kommunikation</v>
      </c>
      <c r="B311" t="str">
        <f>"Almega Tjänsteförbunden"</f>
        <v>Almega Tjänsteförbunden</v>
      </c>
      <c r="C311" t="str">
        <f t="shared" ref="C311:C318" si="34">"SRAT"</f>
        <v>SRAT</v>
      </c>
      <c r="D311" t="str">
        <f>"2025-07-31"</f>
        <v>2025-07-31</v>
      </c>
    </row>
    <row r="312" spans="1:4" x14ac:dyDescent="0.35">
      <c r="A312" t="str">
        <f>"Järnvägsinfrastruktur"</f>
        <v>Järnvägsinfrastruktur</v>
      </c>
      <c r="B312" t="str">
        <f>"Almega Tjänsteförbunden"</f>
        <v>Almega Tjänsteförbunden</v>
      </c>
      <c r="C312" t="str">
        <f t="shared" si="34"/>
        <v>SRAT</v>
      </c>
      <c r="D312" t="str">
        <f>"2025-04-30"</f>
        <v>2025-04-30</v>
      </c>
    </row>
    <row r="313" spans="1:4" x14ac:dyDescent="0.35">
      <c r="A313" t="str">
        <f>"Gym- och friskvårdsanläggningar"</f>
        <v>Gym- och friskvårdsanläggningar</v>
      </c>
      <c r="B313" t="str">
        <f>"Almega Tjänsteföretagen"</f>
        <v>Almega Tjänsteföretagen</v>
      </c>
      <c r="C313" t="str">
        <f t="shared" si="34"/>
        <v>SRAT</v>
      </c>
      <c r="D313" t="str">
        <f>"2025-08-31"</f>
        <v>2025-08-31</v>
      </c>
    </row>
    <row r="314" spans="1:4" x14ac:dyDescent="0.35">
      <c r="A314" t="str">
        <f>"Tandläkarmottagningar och tandregleringsverksamheter"</f>
        <v>Tandläkarmottagningar och tandregleringsverksamheter</v>
      </c>
      <c r="B314" t="str">
        <f>"Fremia"</f>
        <v>Fremia</v>
      </c>
      <c r="C314" t="str">
        <f t="shared" si="34"/>
        <v>SRAT</v>
      </c>
      <c r="D314" t="str">
        <f>""</f>
        <v/>
      </c>
    </row>
    <row r="315" spans="1:4" x14ac:dyDescent="0.35">
      <c r="A315" t="str">
        <f>"Optiker"</f>
        <v>Optiker</v>
      </c>
      <c r="B315" t="str">
        <f>"Svensk Handel"</f>
        <v>Svensk Handel</v>
      </c>
      <c r="C315" t="str">
        <f t="shared" si="34"/>
        <v>SRAT</v>
      </c>
      <c r="D315" t="str">
        <f>"2025-04-30"</f>
        <v>2025-04-30</v>
      </c>
    </row>
    <row r="316" spans="1:4" x14ac:dyDescent="0.35">
      <c r="A316" t="str">
        <f>"Flygtekniker med typcertifikat"</f>
        <v>Flygtekniker med typcertifikat</v>
      </c>
      <c r="B316" t="str">
        <f>"Svenska Flygbranschen"</f>
        <v>Svenska Flygbranschen</v>
      </c>
      <c r="C316" t="str">
        <f t="shared" si="34"/>
        <v>SRAT</v>
      </c>
      <c r="D316" t="str">
        <f>"2025-10-31"</f>
        <v>2025-10-31</v>
      </c>
    </row>
    <row r="317" spans="1:4" x14ac:dyDescent="0.35">
      <c r="A317" t="str">
        <f>"Spårtrafik"</f>
        <v>Spårtrafik</v>
      </c>
      <c r="B317" t="str">
        <f>"Tågföretagen"</f>
        <v>Tågföretagen</v>
      </c>
      <c r="C317" t="str">
        <f t="shared" si="34"/>
        <v>SRAT</v>
      </c>
      <c r="D317" t="str">
        <f>"2025-04-30"</f>
        <v>2025-04-30</v>
      </c>
    </row>
    <row r="318" spans="1:4" x14ac:dyDescent="0.35">
      <c r="A318" t="str">
        <f>"Tandhygienister - Bransch Tandvård (A)"</f>
        <v>Tandhygienister - Bransch Tandvård (A)</v>
      </c>
      <c r="B318" t="str">
        <f>"Vårdföretagarna"</f>
        <v>Vårdföretagarna</v>
      </c>
      <c r="C318" t="str">
        <f t="shared" si="34"/>
        <v>SRAT</v>
      </c>
      <c r="D318" t="str">
        <f>""</f>
        <v/>
      </c>
    </row>
    <row r="319" spans="1:4" x14ac:dyDescent="0.35">
      <c r="A319" t="str">
        <f>"Högskola"</f>
        <v>Högskola</v>
      </c>
      <c r="B319" t="str">
        <f>"Arbetsgivaralliansen"</f>
        <v>Arbetsgivaralliansen</v>
      </c>
      <c r="C319" t="str">
        <f>"SULF"</f>
        <v>SULF</v>
      </c>
      <c r="D319" t="str">
        <f>"2025-06-30"</f>
        <v>2025-06-30</v>
      </c>
    </row>
    <row r="320" spans="1:4" x14ac:dyDescent="0.35">
      <c r="A320" t="str">
        <f>"Amapola Flyg AB"</f>
        <v>Amapola Flyg AB</v>
      </c>
      <c r="B320" t="str">
        <f t="shared" ref="B320:B327" si="35">"Svenska Flygbranschen"</f>
        <v>Svenska Flygbranschen</v>
      </c>
      <c r="C320" t="str">
        <f t="shared" ref="C320:C327" si="36">"Svensk Pilotförening"</f>
        <v>Svensk Pilotförening</v>
      </c>
      <c r="D320" t="str">
        <f>"2023-10-31"</f>
        <v>2023-10-31</v>
      </c>
    </row>
    <row r="321" spans="1:4" x14ac:dyDescent="0.35">
      <c r="A321" t="str">
        <f>"Helikopterflyg"</f>
        <v>Helikopterflyg</v>
      </c>
      <c r="B321" t="str">
        <f t="shared" si="35"/>
        <v>Svenska Flygbranschen</v>
      </c>
      <c r="C321" t="str">
        <f t="shared" si="36"/>
        <v>Svensk Pilotförening</v>
      </c>
      <c r="D321" t="str">
        <f>"2023-03-31"</f>
        <v>2023-03-31</v>
      </c>
    </row>
    <row r="322" spans="1:4" x14ac:dyDescent="0.35">
      <c r="A322" t="str">
        <f>"Babcock Scandinavian Air Ambulance AB"</f>
        <v>Babcock Scandinavian Air Ambulance AB</v>
      </c>
      <c r="B322" t="str">
        <f t="shared" si="35"/>
        <v>Svenska Flygbranschen</v>
      </c>
      <c r="C322" t="str">
        <f t="shared" si="36"/>
        <v>Svensk Pilotförening</v>
      </c>
      <c r="D322" t="str">
        <f>"2023-03-31"</f>
        <v>2023-03-31</v>
      </c>
    </row>
    <row r="323" spans="1:4" x14ac:dyDescent="0.35">
      <c r="A323" t="str">
        <f>"TUIfly Nordic AB"</f>
        <v>TUIfly Nordic AB</v>
      </c>
      <c r="B323" t="str">
        <f t="shared" si="35"/>
        <v>Svenska Flygbranschen</v>
      </c>
      <c r="C323" t="str">
        <f t="shared" si="36"/>
        <v>Svensk Pilotförening</v>
      </c>
      <c r="D323" t="str">
        <f>"2023-03-31"</f>
        <v>2023-03-31</v>
      </c>
    </row>
    <row r="324" spans="1:4" x14ac:dyDescent="0.35">
      <c r="A324" t="str">
        <f>"SAS Piloter"</f>
        <v>SAS Piloter</v>
      </c>
      <c r="B324" t="str">
        <f t="shared" si="35"/>
        <v>Svenska Flygbranschen</v>
      </c>
      <c r="C324" t="str">
        <f t="shared" si="36"/>
        <v>Svensk Pilotförening</v>
      </c>
      <c r="D324" t="str">
        <f>"2027-09-30"</f>
        <v>2027-09-30</v>
      </c>
    </row>
    <row r="325" spans="1:4" x14ac:dyDescent="0.35">
      <c r="A325" t="str">
        <f>"BRAATHENS People AB"</f>
        <v>BRAATHENS People AB</v>
      </c>
      <c r="B325" t="str">
        <f t="shared" si="35"/>
        <v>Svenska Flygbranschen</v>
      </c>
      <c r="C325" t="str">
        <f t="shared" si="36"/>
        <v>Svensk Pilotförening</v>
      </c>
      <c r="D325" t="str">
        <f>"2025-03-31"</f>
        <v>2025-03-31</v>
      </c>
    </row>
    <row r="326" spans="1:4" x14ac:dyDescent="0.35">
      <c r="A326" t="str">
        <f>"Nova Airlines"</f>
        <v>Nova Airlines</v>
      </c>
      <c r="B326" t="str">
        <f t="shared" si="35"/>
        <v>Svenska Flygbranschen</v>
      </c>
      <c r="C326" t="str">
        <f t="shared" si="36"/>
        <v>Svensk Pilotförening</v>
      </c>
      <c r="D326" t="str">
        <f>"2025-03-31"</f>
        <v>2025-03-31</v>
      </c>
    </row>
    <row r="327" spans="1:4" x14ac:dyDescent="0.35">
      <c r="A327" t="str">
        <f>"Flygskolor"</f>
        <v>Flygskolor</v>
      </c>
      <c r="B327" t="str">
        <f t="shared" si="35"/>
        <v>Svenska Flygbranschen</v>
      </c>
      <c r="C327" t="str">
        <f t="shared" si="36"/>
        <v>Svensk Pilotförening</v>
      </c>
      <c r="D327" t="str">
        <f>"2025-03-31"</f>
        <v>2025-03-31</v>
      </c>
    </row>
    <row r="328" spans="1:4" x14ac:dyDescent="0.35">
      <c r="A328" t="str">
        <f>"Byggavtal"</f>
        <v>Byggavtal</v>
      </c>
      <c r="B328" t="str">
        <f>"Byggföretagen"</f>
        <v>Byggföretagen</v>
      </c>
      <c r="C328" t="str">
        <f t="shared" ref="C328:C336" si="37">"Svenska Byggnadsarbetareförbundet"</f>
        <v>Svenska Byggnadsarbetareförbundet</v>
      </c>
      <c r="D328" t="str">
        <f t="shared" ref="D328:D334" si="38">"2025-04-30"</f>
        <v>2025-04-30</v>
      </c>
    </row>
    <row r="329" spans="1:4" x14ac:dyDescent="0.35">
      <c r="A329" t="str">
        <f>"Byggavtal"</f>
        <v>Byggavtal</v>
      </c>
      <c r="B329" t="str">
        <f>"Fastigo - Fastighetsbranschens Arbetsgivarorganisation"</f>
        <v>Fastigo - Fastighetsbranschens Arbetsgivarorganisation</v>
      </c>
      <c r="C329" t="str">
        <f t="shared" si="37"/>
        <v>Svenska Byggnadsarbetareförbundet</v>
      </c>
      <c r="D329" t="str">
        <f t="shared" si="38"/>
        <v>2025-04-30</v>
      </c>
    </row>
    <row r="330" spans="1:4" x14ac:dyDescent="0.35">
      <c r="A330" t="str">
        <f>"Teknikinstallationsavtal"</f>
        <v>Teknikinstallationsavtal</v>
      </c>
      <c r="B330" t="str">
        <f>"Fastigo - Fastighetsbranschens Arbetsgivarorganisation"</f>
        <v>Fastigo - Fastighetsbranschens Arbetsgivarorganisation</v>
      </c>
      <c r="C330" t="str">
        <f t="shared" si="37"/>
        <v>Svenska Byggnadsarbetareförbundet</v>
      </c>
      <c r="D330" t="str">
        <f t="shared" si="38"/>
        <v>2025-04-30</v>
      </c>
    </row>
    <row r="331" spans="1:4" x14ac:dyDescent="0.35">
      <c r="A331" t="str">
        <f>"Glasmästeri"</f>
        <v>Glasmästeri</v>
      </c>
      <c r="B331" t="str">
        <f>"Glasbranschföreningen"</f>
        <v>Glasbranschföreningen</v>
      </c>
      <c r="C331" t="str">
        <f t="shared" si="37"/>
        <v>Svenska Byggnadsarbetareförbundet</v>
      </c>
      <c r="D331" t="str">
        <f t="shared" si="38"/>
        <v>2025-04-30</v>
      </c>
    </row>
    <row r="332" spans="1:4" x14ac:dyDescent="0.35">
      <c r="A332" t="str">
        <f>"Teknikinstallationsavtal"</f>
        <v>Teknikinstallationsavtal</v>
      </c>
      <c r="B332" t="str">
        <f>"Installatörsföretagen"</f>
        <v>Installatörsföretagen</v>
      </c>
      <c r="C332" t="str">
        <f t="shared" si="37"/>
        <v>Svenska Byggnadsarbetareförbundet</v>
      </c>
      <c r="D332" t="str">
        <f t="shared" si="38"/>
        <v>2025-04-30</v>
      </c>
    </row>
    <row r="333" spans="1:4" x14ac:dyDescent="0.35">
      <c r="A333" t="str">
        <f>"Plåt- och Ventilationsavtalet"</f>
        <v>Plåt- och Ventilationsavtalet</v>
      </c>
      <c r="B333" t="str">
        <f>"Installatörsföretagen"</f>
        <v>Installatörsföretagen</v>
      </c>
      <c r="C333" t="str">
        <f t="shared" si="37"/>
        <v>Svenska Byggnadsarbetareförbundet</v>
      </c>
      <c r="D333" t="str">
        <f t="shared" si="38"/>
        <v>2025-04-30</v>
      </c>
    </row>
    <row r="334" spans="1:4" x14ac:dyDescent="0.35">
      <c r="A334" t="str">
        <f>"Bemanningsavtalet"</f>
        <v>Bemanningsavtalet</v>
      </c>
      <c r="B334" t="str">
        <f>"Kompetensföretagen"</f>
        <v>Kompetensföretagen</v>
      </c>
      <c r="C334" t="str">
        <f t="shared" si="37"/>
        <v>Svenska Byggnadsarbetareförbundet</v>
      </c>
      <c r="D334" t="str">
        <f t="shared" si="38"/>
        <v>2025-04-30</v>
      </c>
    </row>
    <row r="335" spans="1:4" x14ac:dyDescent="0.35">
      <c r="A335" t="str">
        <f>"Entreprenadmaskinföretag"</f>
        <v>Entreprenadmaskinföretag</v>
      </c>
      <c r="B335" t="str">
        <f>"Maskinentreprenörerna"</f>
        <v>Maskinentreprenörerna</v>
      </c>
      <c r="C335" t="str">
        <f t="shared" si="37"/>
        <v>Svenska Byggnadsarbetareförbundet</v>
      </c>
      <c r="D335" t="str">
        <f>"2025-05-31"</f>
        <v>2025-05-31</v>
      </c>
    </row>
    <row r="336" spans="1:4" x14ac:dyDescent="0.35">
      <c r="A336" t="str">
        <f>"Plåt- och Ventilationsavtal"</f>
        <v>Plåt- och Ventilationsavtal</v>
      </c>
      <c r="B336" t="str">
        <f>"Plåt &amp; Ventföretagen"</f>
        <v>Plåt &amp; Ventföretagen</v>
      </c>
      <c r="C336" t="str">
        <f t="shared" si="37"/>
        <v>Svenska Byggnadsarbetareförbundet</v>
      </c>
      <c r="D336" t="str">
        <f>"2025-04-30"</f>
        <v>2025-04-30</v>
      </c>
    </row>
    <row r="337" spans="1:4" x14ac:dyDescent="0.35">
      <c r="A337" t="str">
        <f>"Kraftverksavtal"</f>
        <v>Kraftverksavtal</v>
      </c>
      <c r="B337" t="str">
        <f>"EnergiFöretagens Arbetsgivareförening EFA"</f>
        <v>EnergiFöretagens Arbetsgivareförening EFA</v>
      </c>
      <c r="C337" t="str">
        <f t="shared" ref="C337:C344" si="39">"Svenska Elektrikerförbundet"</f>
        <v>Svenska Elektrikerförbundet</v>
      </c>
      <c r="D337" t="str">
        <f>"2025-04-30"</f>
        <v>2025-04-30</v>
      </c>
    </row>
    <row r="338" spans="1:4" x14ac:dyDescent="0.35">
      <c r="A338" t="str">
        <f>"Installationsavtal"</f>
        <v>Installationsavtal</v>
      </c>
      <c r="B338" t="str">
        <f>"Fastigo - Fastighetsbranschens Arbetsgivarorganisation"</f>
        <v>Fastigo - Fastighetsbranschens Arbetsgivarorganisation</v>
      </c>
      <c r="C338" t="str">
        <f t="shared" si="39"/>
        <v>Svenska Elektrikerförbundet</v>
      </c>
      <c r="D338" t="str">
        <f>"2025-04-30"</f>
        <v>2025-04-30</v>
      </c>
    </row>
    <row r="339" spans="1:4" x14ac:dyDescent="0.35">
      <c r="A339" t="str">
        <f>"Larm- och Säkerhetsavtalet"</f>
        <v>Larm- och Säkerhetsavtalet</v>
      </c>
      <c r="B339" t="str">
        <f>"Installatörsföretagen"</f>
        <v>Installatörsföretagen</v>
      </c>
      <c r="C339" t="str">
        <f t="shared" si="39"/>
        <v>Svenska Elektrikerförbundet</v>
      </c>
      <c r="D339" t="str">
        <f>"2025-05-31"</f>
        <v>2025-05-31</v>
      </c>
    </row>
    <row r="340" spans="1:4" x14ac:dyDescent="0.35">
      <c r="A340" t="str">
        <f>"Installationsavtal"</f>
        <v>Installationsavtal</v>
      </c>
      <c r="B340" t="str">
        <f>"Installatörsföretagen"</f>
        <v>Installatörsföretagen</v>
      </c>
      <c r="C340" t="str">
        <f t="shared" si="39"/>
        <v>Svenska Elektrikerförbundet</v>
      </c>
      <c r="D340" t="str">
        <f>"2025-04-30"</f>
        <v>2025-04-30</v>
      </c>
    </row>
    <row r="341" spans="1:4" x14ac:dyDescent="0.35">
      <c r="A341" t="str">
        <f>"Bemanningsavtalet"</f>
        <v>Bemanningsavtalet</v>
      </c>
      <c r="B341" t="str">
        <f>"Kompetensföretagen"</f>
        <v>Kompetensföretagen</v>
      </c>
      <c r="C341" t="str">
        <f t="shared" si="39"/>
        <v>Svenska Elektrikerförbundet</v>
      </c>
      <c r="D341" t="str">
        <f>"2025-04-30"</f>
        <v>2025-04-30</v>
      </c>
    </row>
    <row r="342" spans="1:4" x14ac:dyDescent="0.35">
      <c r="A342" t="str">
        <f>"Radio-, TV-, Data- och Elektronikteknikeravtalet"</f>
        <v>Radio-, TV-, Data- och Elektronikteknikeravtalet</v>
      </c>
      <c r="B342" t="str">
        <f>"Svensk Handel"</f>
        <v>Svensk Handel</v>
      </c>
      <c r="C342" t="str">
        <f t="shared" si="39"/>
        <v>Svenska Elektrikerförbundet</v>
      </c>
      <c r="D342" t="str">
        <f>"2025-05-31"</f>
        <v>2025-05-31</v>
      </c>
    </row>
    <row r="343" spans="1:4" x14ac:dyDescent="0.35">
      <c r="A343" t="str">
        <f>"TKE-avtalet"</f>
        <v>TKE-avtalet</v>
      </c>
      <c r="B343" t="str">
        <f>"Teknikarbetsgivarna"</f>
        <v>Teknikarbetsgivarna</v>
      </c>
      <c r="C343" t="str">
        <f t="shared" si="39"/>
        <v>Svenska Elektrikerförbundet</v>
      </c>
      <c r="D343" t="str">
        <f>"2025-04-30"</f>
        <v>2025-04-30</v>
      </c>
    </row>
    <row r="344" spans="1:4" x14ac:dyDescent="0.35">
      <c r="A344" t="str">
        <f>"ElektroSkandia"</f>
        <v>ElektroSkandia</v>
      </c>
      <c r="B344" t="str">
        <f>"TGA - TeknikGrossisternas Arbetsgivareförening"</f>
        <v>TGA - TeknikGrossisternas Arbetsgivareförening</v>
      </c>
      <c r="C344" t="str">
        <f t="shared" si="39"/>
        <v>Svenska Elektrikerförbundet</v>
      </c>
      <c r="D344" t="str">
        <f>"2025-09-30"</f>
        <v>2025-09-30</v>
      </c>
    </row>
    <row r="345" spans="1:4" x14ac:dyDescent="0.35">
      <c r="A345" t="str">
        <f>"Kajavtalet"</f>
        <v>Kajavtalet</v>
      </c>
      <c r="B345" t="str">
        <f>"Sveriges Hamnar"</f>
        <v>Sveriges Hamnar</v>
      </c>
      <c r="C345" t="str">
        <f>"Svenska Hamnarbetarförbundet"</f>
        <v>Svenska Hamnarbetarförbundet</v>
      </c>
      <c r="D345" t="str">
        <f>"2025-04-30"</f>
        <v>2025-04-30</v>
      </c>
    </row>
    <row r="346" spans="1:4" x14ac:dyDescent="0.35">
      <c r="A346" t="str">
        <f>"Serviceentreprenad"</f>
        <v>Serviceentreprenad</v>
      </c>
      <c r="B346" t="str">
        <f>"Almega Tjänsteförbunden"</f>
        <v>Almega Tjänsteförbunden</v>
      </c>
      <c r="C346" t="str">
        <f t="shared" ref="C346:C377" si="40">"Svenska Kommunalarbetareförbundet"</f>
        <v>Svenska Kommunalarbetareförbundet</v>
      </c>
      <c r="D346" t="str">
        <f>"2025-08-31"</f>
        <v>2025-08-31</v>
      </c>
    </row>
    <row r="347" spans="1:4" x14ac:dyDescent="0.35">
      <c r="A347" t="str">
        <f>"Hemserviceföretag"</f>
        <v>Hemserviceföretag</v>
      </c>
      <c r="B347" t="str">
        <f>"Almega Tjänsteförbunden"</f>
        <v>Almega Tjänsteförbunden</v>
      </c>
      <c r="C347" t="str">
        <f t="shared" si="40"/>
        <v>Svenska Kommunalarbetareförbundet</v>
      </c>
      <c r="D347" t="str">
        <f>"2025-09-30"</f>
        <v>2025-09-30</v>
      </c>
    </row>
    <row r="348" spans="1:4" x14ac:dyDescent="0.35">
      <c r="A348" t="str">
        <f>"Banarbetare vid travbanor"</f>
        <v>Banarbetare vid travbanor</v>
      </c>
      <c r="B348" t="str">
        <f>"Almega Tjänsteföretagen"</f>
        <v>Almega Tjänsteföretagen</v>
      </c>
      <c r="C348" t="str">
        <f t="shared" si="40"/>
        <v>Svenska Kommunalarbetareförbundet</v>
      </c>
      <c r="D348" t="str">
        <f>"2025-05-31"</f>
        <v>2025-05-31</v>
      </c>
    </row>
    <row r="349" spans="1:4" x14ac:dyDescent="0.35">
      <c r="A349" t="str">
        <f>"Stallpersonal hos travtränare"</f>
        <v>Stallpersonal hos travtränare</v>
      </c>
      <c r="B349" t="str">
        <f>"Almega Tjänsteföretagen"</f>
        <v>Almega Tjänsteföretagen</v>
      </c>
      <c r="C349" t="str">
        <f t="shared" si="40"/>
        <v>Svenska Kommunalarbetareförbundet</v>
      </c>
      <c r="D349" t="str">
        <f>"2025-05-31"</f>
        <v>2025-05-31</v>
      </c>
    </row>
    <row r="350" spans="1:4" x14ac:dyDescent="0.35">
      <c r="A350" t="str">
        <f>"Ridhusföretag"</f>
        <v>Ridhusföretag</v>
      </c>
      <c r="B350" t="str">
        <f>"Almega Tjänsteföretagen"</f>
        <v>Almega Tjänsteföretagen</v>
      </c>
      <c r="C350" t="str">
        <f t="shared" si="40"/>
        <v>Svenska Kommunalarbetareförbundet</v>
      </c>
      <c r="D350" t="str">
        <f>"2025-05-31"</f>
        <v>2025-05-31</v>
      </c>
    </row>
    <row r="351" spans="1:4" x14ac:dyDescent="0.35">
      <c r="A351" t="str">
        <f>"Arenor, bad och idrottsanläggningar"</f>
        <v>Arenor, bad och idrottsanläggningar</v>
      </c>
      <c r="B351" t="str">
        <f>"Almega Tjänsteföretagen"</f>
        <v>Almega Tjänsteföretagen</v>
      </c>
      <c r="C351" t="str">
        <f t="shared" si="40"/>
        <v>Svenska Kommunalarbetareförbundet</v>
      </c>
      <c r="D351" t="str">
        <f>"2025-06-30"</f>
        <v>2025-06-30</v>
      </c>
    </row>
    <row r="352" spans="1:4" x14ac:dyDescent="0.35">
      <c r="A352" t="str">
        <f>"Friskolor"</f>
        <v>Friskolor</v>
      </c>
      <c r="B352" t="str">
        <f>"Almega Tjänsteföretagen"</f>
        <v>Almega Tjänsteföretagen</v>
      </c>
      <c r="C352" t="str">
        <f t="shared" si="40"/>
        <v>Svenska Kommunalarbetareförbundet</v>
      </c>
      <c r="D352" t="str">
        <f>"2025-10-31"</f>
        <v>2025-10-31</v>
      </c>
    </row>
    <row r="353" spans="1:4" x14ac:dyDescent="0.35">
      <c r="A353" t="str">
        <f>"Vård och omsorg"</f>
        <v>Vård och omsorg</v>
      </c>
      <c r="B353" t="str">
        <f>"Arbetsgivaralliansen"</f>
        <v>Arbetsgivaralliansen</v>
      </c>
      <c r="C353" t="str">
        <f t="shared" si="40"/>
        <v>Svenska Kommunalarbetareförbundet</v>
      </c>
      <c r="D353" t="str">
        <f>"2025-09-30"</f>
        <v>2025-09-30</v>
      </c>
    </row>
    <row r="354" spans="1:4" x14ac:dyDescent="0.35">
      <c r="A354" t="str">
        <f>"Skola/utbildning"</f>
        <v>Skola/utbildning</v>
      </c>
      <c r="B354" t="str">
        <f>"Arbetsgivaralliansen"</f>
        <v>Arbetsgivaralliansen</v>
      </c>
      <c r="C354" t="str">
        <f t="shared" si="40"/>
        <v>Svenska Kommunalarbetareförbundet</v>
      </c>
      <c r="D354" t="str">
        <f>"2025-04-30"</f>
        <v>2025-04-30</v>
      </c>
    </row>
    <row r="355" spans="1:4" x14ac:dyDescent="0.35">
      <c r="A355" t="str">
        <f>"Folkhögskolor"</f>
        <v>Folkhögskolor</v>
      </c>
      <c r="B355" t="str">
        <f>"Arbetsgivaralliansen"</f>
        <v>Arbetsgivaralliansen</v>
      </c>
      <c r="C355" t="str">
        <f t="shared" si="40"/>
        <v>Svenska Kommunalarbetareförbundet</v>
      </c>
      <c r="D355" t="str">
        <f>"2025-04-30"</f>
        <v>2025-04-30</v>
      </c>
    </row>
    <row r="356" spans="1:4" x14ac:dyDescent="0.35">
      <c r="A356" t="str">
        <f>"Idrottsavtalet (Rid- och Golfklubbar)"</f>
        <v>Idrottsavtalet (Rid- och Golfklubbar)</v>
      </c>
      <c r="B356" t="str">
        <f>"Arbetsgivaralliansen"</f>
        <v>Arbetsgivaralliansen</v>
      </c>
      <c r="C356" t="str">
        <f t="shared" si="40"/>
        <v>Svenska Kommunalarbetareförbundet</v>
      </c>
      <c r="D356" t="str">
        <f>"2025-10-31"</f>
        <v>2025-10-31</v>
      </c>
    </row>
    <row r="357" spans="1:4" x14ac:dyDescent="0.35">
      <c r="A357" t="str">
        <f>"Trossamfund och ekumeniska organisationer"</f>
        <v>Trossamfund och ekumeniska organisationer</v>
      </c>
      <c r="B357" t="str">
        <f>"Arbetsgivaralliansen"</f>
        <v>Arbetsgivaralliansen</v>
      </c>
      <c r="C357" t="str">
        <f t="shared" si="40"/>
        <v>Svenska Kommunalarbetareförbundet</v>
      </c>
      <c r="D357" t="str">
        <f>"2025-09-30"</f>
        <v>2025-09-30</v>
      </c>
    </row>
    <row r="358" spans="1:4" x14ac:dyDescent="0.35">
      <c r="A358" t="str">
        <f>"S-avtalet"</f>
        <v>S-avtalet</v>
      </c>
      <c r="B358" t="str">
        <f>"Fastigo - Fastighetsbranschens Arbetsgivarorganisation"</f>
        <v>Fastigo - Fastighetsbranschens Arbetsgivarorganisation</v>
      </c>
      <c r="C358" t="str">
        <f t="shared" si="40"/>
        <v>Svenska Kommunalarbetareförbundet</v>
      </c>
      <c r="D358" t="str">
        <f>"2025-04-30"</f>
        <v>2025-04-30</v>
      </c>
    </row>
    <row r="359" spans="1:4" x14ac:dyDescent="0.35">
      <c r="A359" t="str">
        <f>"Trädgårdsanläggning"</f>
        <v>Trädgårdsanläggning</v>
      </c>
      <c r="B359" t="str">
        <f>"Fastigo - Fastighetsbranschens Arbetsgivarorganisation"</f>
        <v>Fastigo - Fastighetsbranschens Arbetsgivarorganisation</v>
      </c>
      <c r="C359" t="str">
        <f t="shared" si="40"/>
        <v>Svenska Kommunalarbetareförbundet</v>
      </c>
      <c r="D359" t="str">
        <f>"2025-04-30"</f>
        <v>2025-04-30</v>
      </c>
    </row>
    <row r="360" spans="1:4" x14ac:dyDescent="0.35">
      <c r="A360" t="str">
        <f>"Samhall LO-förbund"</f>
        <v>Samhall LO-förbund</v>
      </c>
      <c r="B360" t="str">
        <f t="shared" ref="B360:B368" si="41">"Fremia"</f>
        <v>Fremia</v>
      </c>
      <c r="C360" t="str">
        <f t="shared" si="40"/>
        <v>Svenska Kommunalarbetareförbundet</v>
      </c>
      <c r="D360" t="str">
        <f>"2025-09-30"</f>
        <v>2025-09-30</v>
      </c>
    </row>
    <row r="361" spans="1:4" x14ac:dyDescent="0.35">
      <c r="A361" t="str">
        <f>"Ridhusföretag"</f>
        <v>Ridhusföretag</v>
      </c>
      <c r="B361" t="str">
        <f t="shared" si="41"/>
        <v>Fremia</v>
      </c>
      <c r="C361" t="str">
        <f t="shared" si="40"/>
        <v>Svenska Kommunalarbetareförbundet</v>
      </c>
      <c r="D361" t="str">
        <f>"2025-05-31"</f>
        <v>2025-05-31</v>
      </c>
    </row>
    <row r="362" spans="1:4" x14ac:dyDescent="0.35">
      <c r="A362" t="str">
        <f>"Hälsa, vård och övrig omsorg"</f>
        <v>Hälsa, vård och övrig omsorg</v>
      </c>
      <c r="B362" t="str">
        <f t="shared" si="41"/>
        <v>Fremia</v>
      </c>
      <c r="C362" t="str">
        <f t="shared" si="40"/>
        <v>Svenska Kommunalarbetareförbundet</v>
      </c>
      <c r="D362" t="str">
        <f>"2025-09-30"</f>
        <v>2025-09-30</v>
      </c>
    </row>
    <row r="363" spans="1:4" x14ac:dyDescent="0.35">
      <c r="A363" t="str">
        <f>"Personliga assistenter"</f>
        <v>Personliga assistenter</v>
      </c>
      <c r="B363" t="str">
        <f t="shared" si="41"/>
        <v>Fremia</v>
      </c>
      <c r="C363" t="str">
        <f t="shared" si="40"/>
        <v>Svenska Kommunalarbetareförbundet</v>
      </c>
      <c r="D363" t="str">
        <f>"2025-10-31"</f>
        <v>2025-10-31</v>
      </c>
    </row>
    <row r="364" spans="1:4" x14ac:dyDescent="0.35">
      <c r="A364" t="str">
        <f>"Arbetare - Civilsamhället"</f>
        <v>Arbetare - Civilsamhället</v>
      </c>
      <c r="B364" t="str">
        <f t="shared" si="41"/>
        <v>Fremia</v>
      </c>
      <c r="C364" t="str">
        <f t="shared" si="40"/>
        <v>Svenska Kommunalarbetareförbundet</v>
      </c>
      <c r="D364" t="str">
        <f>"2025-09-30"</f>
        <v>2025-09-30</v>
      </c>
    </row>
    <row r="365" spans="1:4" x14ac:dyDescent="0.35">
      <c r="A365" t="str">
        <f>"Arbetskooperativ"</f>
        <v>Arbetskooperativ</v>
      </c>
      <c r="B365" t="str">
        <f t="shared" si="41"/>
        <v>Fremia</v>
      </c>
      <c r="C365" t="str">
        <f t="shared" si="40"/>
        <v>Svenska Kommunalarbetareförbundet</v>
      </c>
      <c r="D365" t="str">
        <f>"2025-09-30"</f>
        <v>2025-09-30</v>
      </c>
    </row>
    <row r="366" spans="1:4" x14ac:dyDescent="0.35">
      <c r="A366" t="str">
        <f>"Förskolor, fritidshem och fristående skolor"</f>
        <v>Förskolor, fritidshem och fristående skolor</v>
      </c>
      <c r="B366" t="str">
        <f t="shared" si="41"/>
        <v>Fremia</v>
      </c>
      <c r="C366" t="str">
        <f t="shared" si="40"/>
        <v>Svenska Kommunalarbetareförbundet</v>
      </c>
      <c r="D366" t="str">
        <f>"2025-10-31"</f>
        <v>2025-10-31</v>
      </c>
    </row>
    <row r="367" spans="1:4" x14ac:dyDescent="0.35">
      <c r="A367" t="str">
        <f>"Hushållsnära tjänster"</f>
        <v>Hushållsnära tjänster</v>
      </c>
      <c r="B367" t="str">
        <f t="shared" si="41"/>
        <v>Fremia</v>
      </c>
      <c r="C367" t="str">
        <f t="shared" si="40"/>
        <v>Svenska Kommunalarbetareförbundet</v>
      </c>
      <c r="D367" t="str">
        <f>"2025-09-30"</f>
        <v>2025-09-30</v>
      </c>
    </row>
    <row r="368" spans="1:4" x14ac:dyDescent="0.35">
      <c r="A368" t="str">
        <f>"Jordbruk"</f>
        <v>Jordbruk</v>
      </c>
      <c r="B368" t="str">
        <f t="shared" si="41"/>
        <v>Fremia</v>
      </c>
      <c r="C368" t="str">
        <f t="shared" si="40"/>
        <v>Svenska Kommunalarbetareförbundet</v>
      </c>
      <c r="D368" t="str">
        <f>"2025-06-30"</f>
        <v>2025-06-30</v>
      </c>
    </row>
    <row r="369" spans="1:4" x14ac:dyDescent="0.35">
      <c r="A369" t="str">
        <f>"Trädgårdsodling"</f>
        <v>Trädgårdsodling</v>
      </c>
      <c r="B369" t="str">
        <f>"Gröna arbetsgivare"</f>
        <v>Gröna arbetsgivare</v>
      </c>
      <c r="C369" t="str">
        <f t="shared" si="40"/>
        <v>Svenska Kommunalarbetareförbundet</v>
      </c>
      <c r="D369" t="str">
        <f>"2025-05-31"</f>
        <v>2025-05-31</v>
      </c>
    </row>
    <row r="370" spans="1:4" x14ac:dyDescent="0.35">
      <c r="A370" t="str">
        <f>"Kollektivavtal för Lantbruk, djurpark och vattenbruk"</f>
        <v>Kollektivavtal för Lantbruk, djurpark och vattenbruk</v>
      </c>
      <c r="B370" t="str">
        <f>"Gröna arbetsgivare"</f>
        <v>Gröna arbetsgivare</v>
      </c>
      <c r="C370" t="str">
        <f t="shared" si="40"/>
        <v>Svenska Kommunalarbetareförbundet</v>
      </c>
      <c r="D370" t="str">
        <f>"2025-06-30"</f>
        <v>2025-06-30</v>
      </c>
    </row>
    <row r="371" spans="1:4" x14ac:dyDescent="0.35">
      <c r="A371" t="str">
        <f>"Golfbanor"</f>
        <v>Golfbanor</v>
      </c>
      <c r="B371" t="str">
        <f>"Gröna arbetsgivare"</f>
        <v>Gröna arbetsgivare</v>
      </c>
      <c r="C371" t="str">
        <f t="shared" si="40"/>
        <v>Svenska Kommunalarbetareförbundet</v>
      </c>
      <c r="D371" t="str">
        <f>"2025-04-30"</f>
        <v>2025-04-30</v>
      </c>
    </row>
    <row r="372" spans="1:4" x14ac:dyDescent="0.35">
      <c r="A372" t="str">
        <f>"Djursjukvård"</f>
        <v>Djursjukvård</v>
      </c>
      <c r="B372" t="str">
        <f>"Gröna arbetsgivare"</f>
        <v>Gröna arbetsgivare</v>
      </c>
      <c r="C372" t="str">
        <f t="shared" si="40"/>
        <v>Svenska Kommunalarbetareförbundet</v>
      </c>
      <c r="D372" t="str">
        <f>"2025-06-30"</f>
        <v>2025-06-30</v>
      </c>
    </row>
    <row r="373" spans="1:4" x14ac:dyDescent="0.35">
      <c r="A373" t="str">
        <f>"Trädgårdsanläggning"</f>
        <v>Trädgårdsanläggning</v>
      </c>
      <c r="B373" t="str">
        <f>"Gröna arbetsgivare"</f>
        <v>Gröna arbetsgivare</v>
      </c>
      <c r="C373" t="str">
        <f t="shared" si="40"/>
        <v>Svenska Kommunalarbetareförbundet</v>
      </c>
      <c r="D373" t="str">
        <f>"2025-04-30"</f>
        <v>2025-04-30</v>
      </c>
    </row>
    <row r="374" spans="1:4" x14ac:dyDescent="0.35">
      <c r="A374" t="str">
        <f>"Bemanningsavtalet"</f>
        <v>Bemanningsavtalet</v>
      </c>
      <c r="B374" t="str">
        <f>"Kompetensföretagen"</f>
        <v>Kompetensföretagen</v>
      </c>
      <c r="C374" t="str">
        <f t="shared" si="40"/>
        <v>Svenska Kommunalarbetareförbundet</v>
      </c>
      <c r="D374" t="str">
        <f>"2025-04-30"</f>
        <v>2025-04-30</v>
      </c>
    </row>
    <row r="375" spans="1:4" x14ac:dyDescent="0.35">
      <c r="A375" t="str">
        <f>"BEA"</f>
        <v>BEA</v>
      </c>
      <c r="B375" t="str">
        <f>"SKR - Sveriges Kommuner och Regioner"</f>
        <v>SKR - Sveriges Kommuner och Regioner</v>
      </c>
      <c r="C375" t="str">
        <f t="shared" si="40"/>
        <v>Svenska Kommunalarbetareförbundet</v>
      </c>
      <c r="D375" t="str">
        <f>""</f>
        <v/>
      </c>
    </row>
    <row r="376" spans="1:4" x14ac:dyDescent="0.35">
      <c r="A376" t="str">
        <f>"RiB"</f>
        <v>RiB</v>
      </c>
      <c r="B376" t="str">
        <f>"SKR - Sveriges Kommuner och Regioner"</f>
        <v>SKR - Sveriges Kommuner och Regioner</v>
      </c>
      <c r="C376" t="str">
        <f t="shared" si="40"/>
        <v>Svenska Kommunalarbetareförbundet</v>
      </c>
      <c r="D376" t="str">
        <f>"2024-04-30"</f>
        <v>2024-04-30</v>
      </c>
    </row>
    <row r="377" spans="1:4" x14ac:dyDescent="0.35">
      <c r="A377" t="str">
        <f>"PAN"</f>
        <v>PAN</v>
      </c>
      <c r="B377" t="str">
        <f>"SKR - Sveriges Kommuner och Regioner"</f>
        <v>SKR - Sveriges Kommuner och Regioner</v>
      </c>
      <c r="C377" t="str">
        <f t="shared" si="40"/>
        <v>Svenska Kommunalarbetareförbundet</v>
      </c>
      <c r="D377" t="str">
        <f>"2025-03-31"</f>
        <v>2025-03-31</v>
      </c>
    </row>
    <row r="378" spans="1:4" x14ac:dyDescent="0.35">
      <c r="A378" t="str">
        <f>"Kommunalarbetareförbundet"</f>
        <v>Kommunalarbetareförbundet</v>
      </c>
      <c r="B378" t="str">
        <f>"SKR - Sveriges Kommuner och Regioner"</f>
        <v>SKR - Sveriges Kommuner och Regioner</v>
      </c>
      <c r="C378" t="str">
        <f t="shared" ref="C378:C397" si="42">"Svenska Kommunalarbetareförbundet"</f>
        <v>Svenska Kommunalarbetareförbundet</v>
      </c>
      <c r="D378" t="str">
        <f>"2025-03-31"</f>
        <v>2025-03-31</v>
      </c>
    </row>
    <row r="379" spans="1:4" x14ac:dyDescent="0.35">
      <c r="A379" t="str">
        <f>"BEA"</f>
        <v>BEA</v>
      </c>
      <c r="B379" t="str">
        <f t="shared" ref="B379:B389" si="43">"Sobona"</f>
        <v>Sobona</v>
      </c>
      <c r="C379" t="str">
        <f t="shared" si="42"/>
        <v>Svenska Kommunalarbetareförbundet</v>
      </c>
      <c r="D379" t="str">
        <f>""</f>
        <v/>
      </c>
    </row>
    <row r="380" spans="1:4" x14ac:dyDescent="0.35">
      <c r="A380" t="str">
        <f>"Personliga assistenter"</f>
        <v>Personliga assistenter</v>
      </c>
      <c r="B380" t="str">
        <f t="shared" si="43"/>
        <v>Sobona</v>
      </c>
      <c r="C380" t="str">
        <f t="shared" si="42"/>
        <v>Svenska Kommunalarbetareförbundet</v>
      </c>
      <c r="D380" t="str">
        <f>"2023-10-31"</f>
        <v>2023-10-31</v>
      </c>
    </row>
    <row r="381" spans="1:4" x14ac:dyDescent="0.35">
      <c r="A381" t="str">
        <f>"RiB"</f>
        <v>RiB</v>
      </c>
      <c r="B381" t="str">
        <f t="shared" si="43"/>
        <v>Sobona</v>
      </c>
      <c r="C381" t="str">
        <f t="shared" si="42"/>
        <v>Svenska Kommunalarbetareförbundet</v>
      </c>
      <c r="D381" t="str">
        <f>"2024-04-30"</f>
        <v>2024-04-30</v>
      </c>
    </row>
    <row r="382" spans="1:4" x14ac:dyDescent="0.35">
      <c r="A382" t="str">
        <f>"BÖK Vatten &amp; Miljö"</f>
        <v>BÖK Vatten &amp; Miljö</v>
      </c>
      <c r="B382" t="str">
        <f t="shared" si="43"/>
        <v>Sobona</v>
      </c>
      <c r="C382" t="str">
        <f t="shared" si="42"/>
        <v>Svenska Kommunalarbetareförbundet</v>
      </c>
      <c r="D382" t="str">
        <f>"2025-03-31"</f>
        <v>2025-03-31</v>
      </c>
    </row>
    <row r="383" spans="1:4" x14ac:dyDescent="0.35">
      <c r="A383" t="str">
        <f>"BÖK Besöksnäring och Kulturarv"</f>
        <v>BÖK Besöksnäring och Kulturarv</v>
      </c>
      <c r="B383" t="str">
        <f t="shared" si="43"/>
        <v>Sobona</v>
      </c>
      <c r="C383" t="str">
        <f t="shared" si="42"/>
        <v>Svenska Kommunalarbetareförbundet</v>
      </c>
      <c r="D383" t="str">
        <f>"2025-03-31"</f>
        <v>2025-03-31</v>
      </c>
    </row>
    <row r="384" spans="1:4" x14ac:dyDescent="0.35">
      <c r="A384" t="str">
        <f>"BÖK Energi"</f>
        <v>BÖK Energi</v>
      </c>
      <c r="B384" t="str">
        <f t="shared" si="43"/>
        <v>Sobona</v>
      </c>
      <c r="C384" t="str">
        <f t="shared" si="42"/>
        <v>Svenska Kommunalarbetareförbundet</v>
      </c>
      <c r="D384" t="str">
        <f>"2025-03-31"</f>
        <v>2025-03-31</v>
      </c>
    </row>
    <row r="385" spans="1:4" x14ac:dyDescent="0.35">
      <c r="A385" t="str">
        <f>"BÖK Flygplatser"</f>
        <v>BÖK Flygplatser</v>
      </c>
      <c r="B385" t="str">
        <f t="shared" si="43"/>
        <v>Sobona</v>
      </c>
      <c r="C385" t="str">
        <f t="shared" si="42"/>
        <v>Svenska Kommunalarbetareförbundet</v>
      </c>
      <c r="D385" t="str">
        <f>"2025-03-31"</f>
        <v>2025-03-31</v>
      </c>
    </row>
    <row r="386" spans="1:4" x14ac:dyDescent="0.35">
      <c r="A386" t="str">
        <f>"BÖK Fastigheter"</f>
        <v>BÖK Fastigheter</v>
      </c>
      <c r="B386" t="str">
        <f t="shared" si="43"/>
        <v>Sobona</v>
      </c>
      <c r="C386" t="str">
        <f t="shared" si="42"/>
        <v>Svenska Kommunalarbetareförbundet</v>
      </c>
      <c r="D386" t="str">
        <f>"2025-03-31"</f>
        <v>2025-03-31</v>
      </c>
    </row>
    <row r="387" spans="1:4" x14ac:dyDescent="0.35">
      <c r="A387" t="str">
        <f>"BÖK Trafik"</f>
        <v>BÖK Trafik</v>
      </c>
      <c r="B387" t="str">
        <f t="shared" si="43"/>
        <v>Sobona</v>
      </c>
      <c r="C387" t="str">
        <f t="shared" si="42"/>
        <v>Svenska Kommunalarbetareförbundet</v>
      </c>
      <c r="D387" t="str">
        <f>"2025-09-30"</f>
        <v>2025-09-30</v>
      </c>
    </row>
    <row r="388" spans="1:4" x14ac:dyDescent="0.35">
      <c r="A388" t="str">
        <f>"PAN"</f>
        <v>PAN</v>
      </c>
      <c r="B388" t="str">
        <f t="shared" si="43"/>
        <v>Sobona</v>
      </c>
      <c r="C388" t="str">
        <f t="shared" si="42"/>
        <v>Svenska Kommunalarbetareförbundet</v>
      </c>
      <c r="D388" t="str">
        <f>"2025-03-31"</f>
        <v>2025-03-31</v>
      </c>
    </row>
    <row r="389" spans="1:4" x14ac:dyDescent="0.35">
      <c r="A389" t="str">
        <f>"Kommunalarbetareförbundet"</f>
        <v>Kommunalarbetareförbundet</v>
      </c>
      <c r="B389" t="str">
        <f t="shared" si="43"/>
        <v>Sobona</v>
      </c>
      <c r="C389" t="str">
        <f t="shared" si="42"/>
        <v>Svenska Kommunalarbetareförbundet</v>
      </c>
      <c r="D389" t="str">
        <f>"2025-03-31"</f>
        <v>2025-03-31</v>
      </c>
    </row>
    <row r="390" spans="1:4" x14ac:dyDescent="0.35">
      <c r="A390" t="str">
        <f>"Svenska Kyrkan"</f>
        <v>Svenska Kyrkan</v>
      </c>
      <c r="B390" t="str">
        <f>"Svenska Kyrkan"</f>
        <v>Svenska Kyrkan</v>
      </c>
      <c r="C390" t="str">
        <f t="shared" si="42"/>
        <v>Svenska Kommunalarbetareförbundet</v>
      </c>
      <c r="D390" t="str">
        <f>"2025-04-30"</f>
        <v>2025-04-30</v>
      </c>
    </row>
    <row r="391" spans="1:4" x14ac:dyDescent="0.35">
      <c r="A391" t="str">
        <f>"Bussbranschavtal"</f>
        <v>Bussbranschavtal</v>
      </c>
      <c r="B391" t="str">
        <f>"Sveriges Bussföretag"</f>
        <v>Sveriges Bussföretag</v>
      </c>
      <c r="C391" t="str">
        <f t="shared" si="42"/>
        <v>Svenska Kommunalarbetareförbundet</v>
      </c>
      <c r="D391" t="str">
        <f>"2025-09-30"</f>
        <v>2025-09-30</v>
      </c>
    </row>
    <row r="392" spans="1:4" x14ac:dyDescent="0.35">
      <c r="A392" t="str">
        <f>"Riksavtal - Sotare"</f>
        <v>Riksavtal - Sotare</v>
      </c>
      <c r="B392" t="str">
        <f>"Sveriges Skorstensfejaremästares Riksförbund"</f>
        <v>Sveriges Skorstensfejaremästares Riksförbund</v>
      </c>
      <c r="C392" t="str">
        <f t="shared" si="42"/>
        <v>Svenska Kommunalarbetareförbundet</v>
      </c>
      <c r="D392" t="str">
        <f>"2024-03-31"</f>
        <v>2024-03-31</v>
      </c>
    </row>
    <row r="393" spans="1:4" x14ac:dyDescent="0.35">
      <c r="A393" t="str">
        <f>"Måltidsservice"</f>
        <v>Måltidsservice</v>
      </c>
      <c r="B393" t="str">
        <f>"Visita"</f>
        <v>Visita</v>
      </c>
      <c r="C393" t="str">
        <f t="shared" si="42"/>
        <v>Svenska Kommunalarbetareförbundet</v>
      </c>
      <c r="D393" t="str">
        <f>"2025-08-31"</f>
        <v>2025-08-31</v>
      </c>
    </row>
    <row r="394" spans="1:4" x14ac:dyDescent="0.35">
      <c r="A394" t="str">
        <f>"Äldreomsorg"</f>
        <v>Äldreomsorg</v>
      </c>
      <c r="B394" t="str">
        <f>"Vårdföretagarna"</f>
        <v>Vårdföretagarna</v>
      </c>
      <c r="C394" t="str">
        <f t="shared" si="42"/>
        <v>Svenska Kommunalarbetareförbundet</v>
      </c>
      <c r="D394" t="str">
        <f>"2025-05-31"</f>
        <v>2025-05-31</v>
      </c>
    </row>
    <row r="395" spans="1:4" x14ac:dyDescent="0.35">
      <c r="A395" t="str">
        <f>"Vård- och Behandlings- samt Omsorgsverksamhet"</f>
        <v>Vård- och Behandlings- samt Omsorgsverksamhet</v>
      </c>
      <c r="B395" t="str">
        <f>"Vårdföretagarna"</f>
        <v>Vårdföretagarna</v>
      </c>
      <c r="C395" t="str">
        <f t="shared" si="42"/>
        <v>Svenska Kommunalarbetareförbundet</v>
      </c>
      <c r="D395" t="str">
        <f>"2025-05-31"</f>
        <v>2025-05-31</v>
      </c>
    </row>
    <row r="396" spans="1:4" x14ac:dyDescent="0.35">
      <c r="A396" t="str">
        <f>"Personliga assistenter"</f>
        <v>Personliga assistenter</v>
      </c>
      <c r="B396" t="str">
        <f>"Vårdföretagarna"</f>
        <v>Vårdföretagarna</v>
      </c>
      <c r="C396" t="str">
        <f t="shared" si="42"/>
        <v>Svenska Kommunalarbetareförbundet</v>
      </c>
      <c r="D396" t="str">
        <f>"2025-09-30"</f>
        <v>2025-09-30</v>
      </c>
    </row>
    <row r="397" spans="1:4" x14ac:dyDescent="0.35">
      <c r="A397" t="str">
        <f>"Ambulanssjukvårdare"</f>
        <v>Ambulanssjukvårdare</v>
      </c>
      <c r="B397" t="str">
        <f>"Vårdföretagarna"</f>
        <v>Vårdföretagarna</v>
      </c>
      <c r="C397" t="str">
        <f t="shared" si="42"/>
        <v>Svenska Kommunalarbetareförbundet</v>
      </c>
      <c r="D397" t="str">
        <f>"2025-09-30"</f>
        <v>2025-09-30</v>
      </c>
    </row>
    <row r="398" spans="1:4" x14ac:dyDescent="0.35">
      <c r="A398" t="str">
        <f>"Ackordsavtalet"</f>
        <v>Ackordsavtalet</v>
      </c>
      <c r="B398" t="str">
        <f>"Fastigo - Fastighetsbranschens Arbetsgivarorganisation"</f>
        <v>Fastigo - Fastighetsbranschens Arbetsgivarorganisation</v>
      </c>
      <c r="C398" t="str">
        <f>"Svenska Målareförbundet"</f>
        <v>Svenska Målareförbundet</v>
      </c>
      <c r="D398" t="str">
        <f>"2025-04-30"</f>
        <v>2025-04-30</v>
      </c>
    </row>
    <row r="399" spans="1:4" x14ac:dyDescent="0.35">
      <c r="A399" t="str">
        <f>"Månadslöneavtalet"</f>
        <v>Månadslöneavtalet</v>
      </c>
      <c r="B399" t="str">
        <f>"Fastigo - Fastighetsbranschens Arbetsgivarorganisation"</f>
        <v>Fastigo - Fastighetsbranschens Arbetsgivarorganisation</v>
      </c>
      <c r="C399" t="str">
        <f>"Svenska Målareförbundet"</f>
        <v>Svenska Målareförbundet</v>
      </c>
      <c r="D399" t="str">
        <f>"2025-04-30"</f>
        <v>2025-04-30</v>
      </c>
    </row>
    <row r="400" spans="1:4" x14ac:dyDescent="0.35">
      <c r="A400" t="str">
        <f>"Bemanningsavtalet"</f>
        <v>Bemanningsavtalet</v>
      </c>
      <c r="B400" t="str">
        <f>"Kompetensföretagen"</f>
        <v>Kompetensföretagen</v>
      </c>
      <c r="C400" t="str">
        <f>"Svenska Målareförbundet"</f>
        <v>Svenska Målareförbundet</v>
      </c>
      <c r="D400" t="str">
        <f>"2025-04-30"</f>
        <v>2025-04-30</v>
      </c>
    </row>
    <row r="401" spans="1:4" x14ac:dyDescent="0.35">
      <c r="A401" t="str">
        <f>"Bil- och industrilackeringsverkstäder"</f>
        <v>Bil- och industrilackeringsverkstäder</v>
      </c>
      <c r="B401" t="str">
        <f>"Motorbranschens Arbetsgivareförbund"</f>
        <v>Motorbranschens Arbetsgivareförbund</v>
      </c>
      <c r="C401" t="str">
        <f>"Svenska Målareförbundet"</f>
        <v>Svenska Målareförbundet</v>
      </c>
      <c r="D401" t="str">
        <f>"2025-04-30"</f>
        <v>2025-04-30</v>
      </c>
    </row>
    <row r="402" spans="1:4" x14ac:dyDescent="0.35">
      <c r="A402" t="str">
        <f>"Måleriavtalet"</f>
        <v>Måleriavtalet</v>
      </c>
      <c r="B402" t="str">
        <f>"Måleriföretagen i Sverige"</f>
        <v>Måleriföretagen i Sverige</v>
      </c>
      <c r="C402" t="str">
        <f>"Svenska Målareförbundet"</f>
        <v>Svenska Målareförbundet</v>
      </c>
      <c r="D402" t="str">
        <f>"2025-04-30"</f>
        <v>2025-04-30</v>
      </c>
    </row>
    <row r="403" spans="1:4" x14ac:dyDescent="0.35">
      <c r="A403" t="str">
        <f>"Massa- och Pappersindustri"</f>
        <v>Massa- och Pappersindustri</v>
      </c>
      <c r="B403" t="str">
        <f>"Industriarbetsgivarna (Skogsindustrier)"</f>
        <v>Industriarbetsgivarna (Skogsindustrier)</v>
      </c>
      <c r="C403" t="str">
        <f>"Svenska Pappersindustriarbetareförbundet"</f>
        <v>Svenska Pappersindustriarbetareförbundet</v>
      </c>
      <c r="D403" t="str">
        <f>"2025-03-31"</f>
        <v>2025-03-31</v>
      </c>
    </row>
    <row r="404" spans="1:4" x14ac:dyDescent="0.35">
      <c r="A404" t="str">
        <f>"Bemanningsavtalet"</f>
        <v>Bemanningsavtalet</v>
      </c>
      <c r="B404" t="str">
        <f>"Kompetensföretagen"</f>
        <v>Kompetensföretagen</v>
      </c>
      <c r="C404" t="str">
        <f>"Svenska Pappersindustriarbetareförbundet"</f>
        <v>Svenska Pappersindustriarbetareförbundet</v>
      </c>
      <c r="D404" t="str">
        <f>"2025-04-30"</f>
        <v>2025-04-30</v>
      </c>
    </row>
    <row r="405" spans="1:4" x14ac:dyDescent="0.35">
      <c r="A405" t="str">
        <f>"Terminalarbete"</f>
        <v>Terminalarbete</v>
      </c>
      <c r="B405" t="str">
        <f>"Almega Tjänsteföretagen"</f>
        <v>Almega Tjänsteföretagen</v>
      </c>
      <c r="C405" t="str">
        <f t="shared" ref="C405:C430" si="44">"Svenska Transportarbetareförbundet"</f>
        <v>Svenska Transportarbetareförbundet</v>
      </c>
      <c r="D405" t="str">
        <f>"2023-04-30"</f>
        <v>2023-04-30</v>
      </c>
    </row>
    <row r="406" spans="1:4" x14ac:dyDescent="0.35">
      <c r="A406" t="str">
        <f>"Bilvård"</f>
        <v>Bilvård</v>
      </c>
      <c r="B406" t="str">
        <f>"Almega Tjänsteföretagen"</f>
        <v>Almega Tjänsteföretagen</v>
      </c>
      <c r="C406" t="str">
        <f t="shared" si="44"/>
        <v>Svenska Transportarbetareförbundet</v>
      </c>
      <c r="D406" t="str">
        <f>"2025-06-30"</f>
        <v>2025-06-30</v>
      </c>
    </row>
    <row r="407" spans="1:4" x14ac:dyDescent="0.35">
      <c r="A407" t="str">
        <f>"Transportavtalet"</f>
        <v>Transportavtalet</v>
      </c>
      <c r="B407" t="str">
        <f t="shared" ref="B407:B412" si="45">"Biltrafikens Arbetsgivareförbund"</f>
        <v>Biltrafikens Arbetsgivareförbund</v>
      </c>
      <c r="C407" t="str">
        <f t="shared" si="44"/>
        <v>Svenska Transportarbetareförbundet</v>
      </c>
      <c r="D407" t="str">
        <f>"2025-03-31"</f>
        <v>2025-03-31</v>
      </c>
    </row>
    <row r="408" spans="1:4" x14ac:dyDescent="0.35">
      <c r="A408" t="str">
        <f>"Taxiavtal Telefonister"</f>
        <v>Taxiavtal Telefonister</v>
      </c>
      <c r="B408" t="str">
        <f t="shared" si="45"/>
        <v>Biltrafikens Arbetsgivareförbund</v>
      </c>
      <c r="C408" t="str">
        <f t="shared" si="44"/>
        <v>Svenska Transportarbetareförbundet</v>
      </c>
      <c r="D408" t="str">
        <f>"2025-05-31"</f>
        <v>2025-05-31</v>
      </c>
    </row>
    <row r="409" spans="1:4" x14ac:dyDescent="0.35">
      <c r="A409" t="str">
        <f>"Miljöarbetareavtalet"</f>
        <v>Miljöarbetareavtalet</v>
      </c>
      <c r="B409" t="str">
        <f t="shared" si="45"/>
        <v>Biltrafikens Arbetsgivareförbund</v>
      </c>
      <c r="C409" t="str">
        <f t="shared" si="44"/>
        <v>Svenska Transportarbetareförbundet</v>
      </c>
      <c r="D409" t="str">
        <f>"2025-03-31"</f>
        <v>2025-03-31</v>
      </c>
    </row>
    <row r="410" spans="1:4" x14ac:dyDescent="0.35">
      <c r="A410" t="str">
        <f>"Utlandsavtal"</f>
        <v>Utlandsavtal</v>
      </c>
      <c r="B410" t="str">
        <f t="shared" si="45"/>
        <v>Biltrafikens Arbetsgivareförbund</v>
      </c>
      <c r="C410" t="str">
        <f t="shared" si="44"/>
        <v>Svenska Transportarbetareförbundet</v>
      </c>
      <c r="D410" t="str">
        <f>"2025-03-31"</f>
        <v>2025-03-31</v>
      </c>
    </row>
    <row r="411" spans="1:4" x14ac:dyDescent="0.35">
      <c r="A411" t="str">
        <f>"Taxiavtal Förare"</f>
        <v>Taxiavtal Förare</v>
      </c>
      <c r="B411" t="str">
        <f t="shared" si="45"/>
        <v>Biltrafikens Arbetsgivareförbund</v>
      </c>
      <c r="C411" t="str">
        <f t="shared" si="44"/>
        <v>Svenska Transportarbetareförbundet</v>
      </c>
      <c r="D411" t="str">
        <f>"2025-08-31"</f>
        <v>2025-08-31</v>
      </c>
    </row>
    <row r="412" spans="1:4" x14ac:dyDescent="0.35">
      <c r="A412" t="str">
        <f>"Hyrverksavtalet"</f>
        <v>Hyrverksavtalet</v>
      </c>
      <c r="B412" t="str">
        <f t="shared" si="45"/>
        <v>Biltrafikens Arbetsgivareförbund</v>
      </c>
      <c r="C412" t="str">
        <f t="shared" si="44"/>
        <v>Svenska Transportarbetareförbundet</v>
      </c>
      <c r="D412" t="str">
        <f>"2025-05-31"</f>
        <v>2025-05-31</v>
      </c>
    </row>
    <row r="413" spans="1:4" x14ac:dyDescent="0.35">
      <c r="A413" t="str">
        <f>"Samhall LO-förbund"</f>
        <v>Samhall LO-förbund</v>
      </c>
      <c r="B413" t="str">
        <f>"Fremia"</f>
        <v>Fremia</v>
      </c>
      <c r="C413" t="str">
        <f t="shared" si="44"/>
        <v>Svenska Transportarbetareförbundet</v>
      </c>
      <c r="D413" t="str">
        <f>"2025-09-30"</f>
        <v>2025-09-30</v>
      </c>
    </row>
    <row r="414" spans="1:4" x14ac:dyDescent="0.35">
      <c r="A414" t="str">
        <f>"Depåavtalet"</f>
        <v>Depåavtalet</v>
      </c>
      <c r="B414" t="str">
        <f>"Fremia"</f>
        <v>Fremia</v>
      </c>
      <c r="C414" t="str">
        <f t="shared" si="44"/>
        <v>Svenska Transportarbetareförbundet</v>
      </c>
      <c r="D414" t="str">
        <f>"2025-03-31"</f>
        <v>2025-03-31</v>
      </c>
    </row>
    <row r="415" spans="1:4" x14ac:dyDescent="0.35">
      <c r="A415" t="str">
        <f>"Bilvårdsanläggningar"</f>
        <v>Bilvårdsanläggningar</v>
      </c>
      <c r="B415" t="str">
        <f>"Fremia"</f>
        <v>Fremia</v>
      </c>
      <c r="C415" t="str">
        <f t="shared" si="44"/>
        <v>Svenska Transportarbetareförbundet</v>
      </c>
      <c r="D415" t="str">
        <f>"2025-04-30"</f>
        <v>2025-04-30</v>
      </c>
    </row>
    <row r="416" spans="1:4" x14ac:dyDescent="0.35">
      <c r="A416" t="str">
        <f>"Bemanningsavtalet"</f>
        <v>Bemanningsavtalet</v>
      </c>
      <c r="B416" t="str">
        <f>"Kompetensföretagen"</f>
        <v>Kompetensföretagen</v>
      </c>
      <c r="C416" t="str">
        <f t="shared" si="44"/>
        <v>Svenska Transportarbetareförbundet</v>
      </c>
      <c r="D416" t="str">
        <f>"2025-04-30"</f>
        <v>2025-04-30</v>
      </c>
    </row>
    <row r="417" spans="1:4" x14ac:dyDescent="0.35">
      <c r="A417" t="str">
        <f>"Tidningsdistributörer"</f>
        <v>Tidningsdistributörer</v>
      </c>
      <c r="B417" t="str">
        <f>"Medieföretagen"</f>
        <v>Medieföretagen</v>
      </c>
      <c r="C417" t="str">
        <f t="shared" si="44"/>
        <v>Svenska Transportarbetareförbundet</v>
      </c>
      <c r="D417" t="str">
        <f>"2025-04-30"</f>
        <v>2025-04-30</v>
      </c>
    </row>
    <row r="418" spans="1:4" x14ac:dyDescent="0.35">
      <c r="A418" t="str">
        <f>"Bensin- och garageavtal"</f>
        <v>Bensin- och garageavtal</v>
      </c>
      <c r="B418" t="str">
        <f>"Motorbranschens Arbetsgivareförbund"</f>
        <v>Motorbranschens Arbetsgivareförbund</v>
      </c>
      <c r="C418" t="str">
        <f t="shared" si="44"/>
        <v>Svenska Transportarbetareförbundet</v>
      </c>
      <c r="D418" t="str">
        <f>"2025-04-30"</f>
        <v>2025-04-30</v>
      </c>
    </row>
    <row r="419" spans="1:4" x14ac:dyDescent="0.35">
      <c r="A419" t="str">
        <f>"Depåavtalet"</f>
        <v>Depåavtalet</v>
      </c>
      <c r="B419" t="str">
        <f>"Motorbranschens Arbetsgivareförbund"</f>
        <v>Motorbranschens Arbetsgivareförbund</v>
      </c>
      <c r="C419" t="str">
        <f t="shared" si="44"/>
        <v>Svenska Transportarbetareförbundet</v>
      </c>
      <c r="D419" t="str">
        <f>"2025-03-31"</f>
        <v>2025-03-31</v>
      </c>
    </row>
    <row r="420" spans="1:4" x14ac:dyDescent="0.35">
      <c r="A420" t="str">
        <f>"Flygtankningsavtalet"</f>
        <v>Flygtankningsavtalet</v>
      </c>
      <c r="B420" t="str">
        <f>"Motorbranschens Arbetsgivareförbund"</f>
        <v>Motorbranschens Arbetsgivareförbund</v>
      </c>
      <c r="C420" t="str">
        <f t="shared" si="44"/>
        <v>Svenska Transportarbetareförbundet</v>
      </c>
      <c r="D420" t="str">
        <f>"2025-03-31"</f>
        <v>2025-03-31</v>
      </c>
    </row>
    <row r="421" spans="1:4" x14ac:dyDescent="0.35">
      <c r="A421" t="str">
        <f>"Gummiverkstadsföretag"</f>
        <v>Gummiverkstadsföretag</v>
      </c>
      <c r="B421" t="str">
        <f>"Motorbranschens Arbetsgivareförbund"</f>
        <v>Motorbranschens Arbetsgivareförbund</v>
      </c>
      <c r="C421" t="str">
        <f t="shared" si="44"/>
        <v>Svenska Transportarbetareförbundet</v>
      </c>
      <c r="D421" t="str">
        <f>"2025-03-31"</f>
        <v>2025-03-31</v>
      </c>
    </row>
    <row r="422" spans="1:4" x14ac:dyDescent="0.35">
      <c r="A422" t="str">
        <f>"BÖK Flygplatser"</f>
        <v>BÖK Flygplatser</v>
      </c>
      <c r="B422" t="str">
        <f>"Sobona"</f>
        <v>Sobona</v>
      </c>
      <c r="C422" t="str">
        <f t="shared" si="44"/>
        <v>Svenska Transportarbetareförbundet</v>
      </c>
      <c r="D422" t="str">
        <f>"2025-03-31"</f>
        <v>2025-03-31</v>
      </c>
    </row>
    <row r="423" spans="1:4" x14ac:dyDescent="0.35">
      <c r="A423" t="str">
        <f>"BÖK Vatten &amp; Miljö"</f>
        <v>BÖK Vatten &amp; Miljö</v>
      </c>
      <c r="B423" t="str">
        <f>"Sobona"</f>
        <v>Sobona</v>
      </c>
      <c r="C423" t="str">
        <f t="shared" si="44"/>
        <v>Svenska Transportarbetareförbundet</v>
      </c>
      <c r="D423" t="str">
        <f>"2025-03-31"</f>
        <v>2025-03-31</v>
      </c>
    </row>
    <row r="424" spans="1:4" x14ac:dyDescent="0.35">
      <c r="A424" t="str">
        <f>"Riksavtal Civilflyget"</f>
        <v>Riksavtal Civilflyget</v>
      </c>
      <c r="B424" t="str">
        <f>"Svenska Flygbranschen"</f>
        <v>Svenska Flygbranschen</v>
      </c>
      <c r="C424" t="str">
        <f t="shared" si="44"/>
        <v>Svenska Transportarbetareförbundet</v>
      </c>
      <c r="D424" t="str">
        <f>"2025-09-30"</f>
        <v>2025-09-30</v>
      </c>
    </row>
    <row r="425" spans="1:4" x14ac:dyDescent="0.35">
      <c r="A425" t="str">
        <f>"Riksavtal Fraktflyget"</f>
        <v>Riksavtal Fraktflyget</v>
      </c>
      <c r="B425" t="str">
        <f>"Svenska Flygbranschen"</f>
        <v>Svenska Flygbranschen</v>
      </c>
      <c r="C425" t="str">
        <f t="shared" si="44"/>
        <v>Svenska Transportarbetareförbundet</v>
      </c>
      <c r="D425" t="str">
        <f>"2025-09-30"</f>
        <v>2025-09-30</v>
      </c>
    </row>
    <row r="426" spans="1:4" x14ac:dyDescent="0.35">
      <c r="A426" t="str">
        <f>"Flygteknisk underhållspersonal"</f>
        <v>Flygteknisk underhållspersonal</v>
      </c>
      <c r="B426" t="str">
        <f>"Svenska Flygbranschen"</f>
        <v>Svenska Flygbranschen</v>
      </c>
      <c r="C426" t="str">
        <f t="shared" si="44"/>
        <v>Svenska Transportarbetareförbundet</v>
      </c>
      <c r="D426" t="str">
        <f>"2025-09-30"</f>
        <v>2025-09-30</v>
      </c>
    </row>
    <row r="427" spans="1:4" x14ac:dyDescent="0.35">
      <c r="A427" t="str">
        <f>"Flygtekniker med typcertifikat"</f>
        <v>Flygtekniker med typcertifikat</v>
      </c>
      <c r="B427" t="str">
        <f>"Svenska Flygbranschen"</f>
        <v>Svenska Flygbranschen</v>
      </c>
      <c r="C427" t="str">
        <f t="shared" si="44"/>
        <v>Svenska Transportarbetareförbundet</v>
      </c>
      <c r="D427" t="str">
        <f>"2025-10-31"</f>
        <v>2025-10-31</v>
      </c>
    </row>
    <row r="428" spans="1:4" x14ac:dyDescent="0.35">
      <c r="A428" t="str">
        <f>"Bussbranschavtal för beställningstrafik"</f>
        <v>Bussbranschavtal för beställningstrafik</v>
      </c>
      <c r="B428" t="str">
        <f>"Sveriges Bussföretag"</f>
        <v>Sveriges Bussföretag</v>
      </c>
      <c r="C428" t="str">
        <f t="shared" si="44"/>
        <v>Svenska Transportarbetareförbundet</v>
      </c>
      <c r="D428" t="str">
        <f>"2025-09-30"</f>
        <v>2025-09-30</v>
      </c>
    </row>
    <row r="429" spans="1:4" x14ac:dyDescent="0.35">
      <c r="A429" t="str">
        <f>"Hamn- och stuveriavtalet"</f>
        <v>Hamn- och stuveriavtalet</v>
      </c>
      <c r="B429" t="str">
        <f>"Sveriges Hamnar"</f>
        <v>Sveriges Hamnar</v>
      </c>
      <c r="C429" t="str">
        <f t="shared" si="44"/>
        <v>Svenska Transportarbetareförbundet</v>
      </c>
      <c r="D429" t="str">
        <f>"2025-04-30"</f>
        <v>2025-04-30</v>
      </c>
    </row>
    <row r="430" spans="1:4" x14ac:dyDescent="0.35">
      <c r="A430" t="str">
        <f>"Bevaknings- och säkerhetsavtalet"</f>
        <v>Bevaknings- och säkerhetsavtalet</v>
      </c>
      <c r="B430" t="str">
        <f>"Säkerhetsföretagen (Almega)"</f>
        <v>Säkerhetsföretagen (Almega)</v>
      </c>
      <c r="C430" t="str">
        <f t="shared" si="44"/>
        <v>Svenska Transportarbetareförbundet</v>
      </c>
      <c r="D430" t="str">
        <f>"2025-05-31"</f>
        <v>2025-05-31</v>
      </c>
    </row>
    <row r="431" spans="1:4" x14ac:dyDescent="0.35">
      <c r="A431" t="str">
        <f>"Innovationsavtalet"</f>
        <v>Innovationsavtalet</v>
      </c>
      <c r="B431" t="str">
        <f>"Innovationsföretagen"</f>
        <v>Innovationsföretagen</v>
      </c>
      <c r="C431" t="str">
        <f>"Sveriges Arkitekter"</f>
        <v>Sveriges Arkitekter</v>
      </c>
      <c r="D431" t="str">
        <f>"2025-03-31"</f>
        <v>2025-03-31</v>
      </c>
    </row>
    <row r="432" spans="1:4" x14ac:dyDescent="0.35">
      <c r="A432" t="str">
        <f>"Apotek"</f>
        <v>Apotek</v>
      </c>
      <c r="B432" t="str">
        <f>"Almega Tjänsteförbunden"</f>
        <v>Almega Tjänsteförbunden</v>
      </c>
      <c r="C432" t="str">
        <f>"Sveriges Farmaceuter"</f>
        <v>Sveriges Farmaceuter</v>
      </c>
      <c r="D432" t="str">
        <f>"2025-04-30"</f>
        <v>2025-04-30</v>
      </c>
    </row>
    <row r="433" spans="1:4" x14ac:dyDescent="0.35">
      <c r="A433" t="str">
        <f>"Apoteksanställda"</f>
        <v>Apoteksanställda</v>
      </c>
      <c r="B433" t="str">
        <f>"Svensk Handel"</f>
        <v>Svensk Handel</v>
      </c>
      <c r="C433" t="str">
        <f>"Sveriges Farmaceuter"</f>
        <v>Sveriges Farmaceuter</v>
      </c>
      <c r="D433" t="str">
        <f>"2025-04-30"</f>
        <v>2025-04-30</v>
      </c>
    </row>
    <row r="434" spans="1:4" x14ac:dyDescent="0.35">
      <c r="A434" t="str">
        <f>"Utveckling och tjänster"</f>
        <v>Utveckling och tjänster</v>
      </c>
      <c r="B434" t="str">
        <f t="shared" ref="B434:B440" si="46">"Almega Tjänsteförbunden"</f>
        <v>Almega Tjänsteförbunden</v>
      </c>
      <c r="C434" t="str">
        <f t="shared" ref="C434:C476" si="47">"Sveriges Ingenjörer"</f>
        <v>Sveriges Ingenjörer</v>
      </c>
      <c r="D434" t="str">
        <f>"2025-04-30"</f>
        <v>2025-04-30</v>
      </c>
    </row>
    <row r="435" spans="1:4" x14ac:dyDescent="0.35">
      <c r="A435" t="str">
        <f>"Apotek"</f>
        <v>Apotek</v>
      </c>
      <c r="B435" t="str">
        <f t="shared" si="46"/>
        <v>Almega Tjänsteförbunden</v>
      </c>
      <c r="C435" t="str">
        <f t="shared" si="47"/>
        <v>Sveriges Ingenjörer</v>
      </c>
      <c r="D435" t="str">
        <f>"2025-04-30"</f>
        <v>2025-04-30</v>
      </c>
    </row>
    <row r="436" spans="1:4" x14ac:dyDescent="0.35">
      <c r="A436" t="str">
        <f>"Utbildningsföretagen"</f>
        <v>Utbildningsföretagen</v>
      </c>
      <c r="B436" t="str">
        <f t="shared" si="46"/>
        <v>Almega Tjänsteförbunden</v>
      </c>
      <c r="C436" t="str">
        <f t="shared" si="47"/>
        <v>Sveriges Ingenjörer</v>
      </c>
      <c r="D436" t="str">
        <f>"2025-03-31"</f>
        <v>2025-03-31</v>
      </c>
    </row>
    <row r="437" spans="1:4" x14ac:dyDescent="0.35">
      <c r="A437" t="str">
        <f>"Fastigheter"</f>
        <v>Fastigheter</v>
      </c>
      <c r="B437" t="str">
        <f t="shared" si="46"/>
        <v>Almega Tjänsteförbunden</v>
      </c>
      <c r="C437" t="str">
        <f t="shared" si="47"/>
        <v>Sveriges Ingenjörer</v>
      </c>
      <c r="D437" t="str">
        <f>"2025-05-31"</f>
        <v>2025-05-31</v>
      </c>
    </row>
    <row r="438" spans="1:4" x14ac:dyDescent="0.35">
      <c r="A438" t="str">
        <f>"Spel och internationella kasinon"</f>
        <v>Spel och internationella kasinon</v>
      </c>
      <c r="B438" t="str">
        <f t="shared" si="46"/>
        <v>Almega Tjänsteförbunden</v>
      </c>
      <c r="C438" t="str">
        <f t="shared" si="47"/>
        <v>Sveriges Ingenjörer</v>
      </c>
      <c r="D438" t="str">
        <f>"2025-06-30"</f>
        <v>2025-06-30</v>
      </c>
    </row>
    <row r="439" spans="1:4" x14ac:dyDescent="0.35">
      <c r="A439" t="str">
        <f>"Kommunikation"</f>
        <v>Kommunikation</v>
      </c>
      <c r="B439" t="str">
        <f t="shared" si="46"/>
        <v>Almega Tjänsteförbunden</v>
      </c>
      <c r="C439" t="str">
        <f t="shared" si="47"/>
        <v>Sveriges Ingenjörer</v>
      </c>
      <c r="D439" t="str">
        <f>"2025-07-31"</f>
        <v>2025-07-31</v>
      </c>
    </row>
    <row r="440" spans="1:4" x14ac:dyDescent="0.35">
      <c r="A440" t="str">
        <f>"Järnvägsinfrastruktur"</f>
        <v>Järnvägsinfrastruktur</v>
      </c>
      <c r="B440" t="str">
        <f t="shared" si="46"/>
        <v>Almega Tjänsteförbunden</v>
      </c>
      <c r="C440" t="str">
        <f t="shared" si="47"/>
        <v>Sveriges Ingenjörer</v>
      </c>
      <c r="D440" t="str">
        <f>"2025-04-30"</f>
        <v>2025-04-30</v>
      </c>
    </row>
    <row r="441" spans="1:4" x14ac:dyDescent="0.35">
      <c r="A441" t="str">
        <f>"Akademikeravtal"</f>
        <v>Akademikeravtal</v>
      </c>
      <c r="B441" t="str">
        <f>"BAO - Bankinstitutens Arbetsgivareorganisation"</f>
        <v>BAO - Bankinstitutens Arbetsgivareorganisation</v>
      </c>
      <c r="C441" t="str">
        <f t="shared" si="47"/>
        <v>Sveriges Ingenjörer</v>
      </c>
      <c r="D441" t="str">
        <f>""</f>
        <v/>
      </c>
    </row>
    <row r="442" spans="1:4" x14ac:dyDescent="0.35">
      <c r="A442" t="str">
        <f>"Tjänstemannaavtalet för Transportföretagen"</f>
        <v>Tjänstemannaavtalet för Transportföretagen</v>
      </c>
      <c r="B442" t="str">
        <f>"Biltrafikens Arbetsgivareförbund"</f>
        <v>Biltrafikens Arbetsgivareförbund</v>
      </c>
      <c r="C442" t="str">
        <f t="shared" si="47"/>
        <v>Sveriges Ingenjörer</v>
      </c>
      <c r="D442" t="str">
        <f>"2025-04-30"</f>
        <v>2025-04-30</v>
      </c>
    </row>
    <row r="443" spans="1:4" x14ac:dyDescent="0.35">
      <c r="A443" t="str">
        <f>"Tjänstemannaavtal inom byggbranschen"</f>
        <v>Tjänstemannaavtal inom byggbranschen</v>
      </c>
      <c r="B443" t="str">
        <f>"Byggföretagen"</f>
        <v>Byggföretagen</v>
      </c>
      <c r="C443" t="str">
        <f t="shared" si="47"/>
        <v>Sveriges Ingenjörer</v>
      </c>
      <c r="D443" t="str">
        <f>"2025-03-31"</f>
        <v>2025-03-31</v>
      </c>
    </row>
    <row r="444" spans="1:4" x14ac:dyDescent="0.35">
      <c r="A444" t="str">
        <f>"Energiavtal"</f>
        <v>Energiavtal</v>
      </c>
      <c r="B444" t="str">
        <f>"EnergiFöretagens Arbetsgivareförening EFA"</f>
        <v>EnergiFöretagens Arbetsgivareförening EFA</v>
      </c>
      <c r="C444" t="str">
        <f t="shared" si="47"/>
        <v>Sveriges Ingenjörer</v>
      </c>
      <c r="D444" t="str">
        <f>"2025-03-31"</f>
        <v>2025-03-31</v>
      </c>
    </row>
    <row r="445" spans="1:4" x14ac:dyDescent="0.35">
      <c r="A445" t="str">
        <f>"Akademiker i försäkringsbranschen"</f>
        <v>Akademiker i försäkringsbranschen</v>
      </c>
      <c r="B445" t="str">
        <f>"FAO - Försäkringsbranschens Arbetsgivareorganisation"</f>
        <v>FAO - Försäkringsbranschens Arbetsgivareorganisation</v>
      </c>
      <c r="C445" t="str">
        <f t="shared" si="47"/>
        <v>Sveriges Ingenjörer</v>
      </c>
      <c r="D445" t="str">
        <f>"2024-03-31"</f>
        <v>2024-03-31</v>
      </c>
    </row>
    <row r="446" spans="1:4" x14ac:dyDescent="0.35">
      <c r="A446" t="str">
        <f>"Tjänstemannaavtal"</f>
        <v>Tjänstemannaavtal</v>
      </c>
      <c r="B446" t="str">
        <f>"Glasbranschföreningen"</f>
        <v>Glasbranschföreningen</v>
      </c>
      <c r="C446" t="str">
        <f t="shared" si="47"/>
        <v>Sveriges Ingenjörer</v>
      </c>
      <c r="D446" t="str">
        <f>"2025-04-30"</f>
        <v>2025-04-30</v>
      </c>
    </row>
    <row r="447" spans="1:4" x14ac:dyDescent="0.35">
      <c r="A447" t="str">
        <f>"Tjänstemannaavtal"</f>
        <v>Tjänstemannaavtal</v>
      </c>
      <c r="B447" t="str">
        <f>"Grafiska Företagens Förbund"</f>
        <v>Grafiska Företagens Förbund</v>
      </c>
      <c r="C447" t="str">
        <f t="shared" si="47"/>
        <v>Sveriges Ingenjörer</v>
      </c>
      <c r="D447" t="str">
        <f t="shared" ref="D447:D456" si="48">"2025-03-31"</f>
        <v>2025-03-31</v>
      </c>
    </row>
    <row r="448" spans="1:4" x14ac:dyDescent="0.35">
      <c r="A448" t="str">
        <f>"Tjänstemannaavtal Skogsbruk"</f>
        <v>Tjänstemannaavtal Skogsbruk</v>
      </c>
      <c r="B448" t="str">
        <f>"Gröna arbetsgivare"</f>
        <v>Gröna arbetsgivare</v>
      </c>
      <c r="C448" t="str">
        <f t="shared" si="47"/>
        <v>Sveriges Ingenjörer</v>
      </c>
      <c r="D448" t="str">
        <f t="shared" si="48"/>
        <v>2025-03-31</v>
      </c>
    </row>
    <row r="449" spans="1:4" x14ac:dyDescent="0.35">
      <c r="A449" t="str">
        <f>"Tjänstemannaavtal"</f>
        <v>Tjänstemannaavtal</v>
      </c>
      <c r="B449" t="str">
        <f>"IKEM – Innovations-och kemiarbetsgivarna"</f>
        <v>IKEM – Innovations-och kemiarbetsgivarna</v>
      </c>
      <c r="C449" t="str">
        <f t="shared" si="47"/>
        <v>Sveriges Ingenjörer</v>
      </c>
      <c r="D449" t="str">
        <f t="shared" si="48"/>
        <v>2025-03-31</v>
      </c>
    </row>
    <row r="450" spans="1:4" x14ac:dyDescent="0.35">
      <c r="A450" t="str">
        <f>"Tjänstemannaavtal"</f>
        <v>Tjänstemannaavtal</v>
      </c>
      <c r="B450" t="str">
        <f>"Industriarbetsgivarna (Byggnadsämnesindustrin)"</f>
        <v>Industriarbetsgivarna (Byggnadsämnesindustrin)</v>
      </c>
      <c r="C450" t="str">
        <f t="shared" si="47"/>
        <v>Sveriges Ingenjörer</v>
      </c>
      <c r="D450" t="str">
        <f t="shared" si="48"/>
        <v>2025-03-31</v>
      </c>
    </row>
    <row r="451" spans="1:4" x14ac:dyDescent="0.35">
      <c r="A451" t="str">
        <f>"Gruvindustri"</f>
        <v>Gruvindustri</v>
      </c>
      <c r="B451" t="str">
        <f>"industriarbetsgivarna (Gruvorna)"</f>
        <v>industriarbetsgivarna (Gruvorna)</v>
      </c>
      <c r="C451" t="str">
        <f t="shared" si="47"/>
        <v>Sveriges Ingenjörer</v>
      </c>
      <c r="D451" t="str">
        <f t="shared" si="48"/>
        <v>2025-03-31</v>
      </c>
    </row>
    <row r="452" spans="1:4" x14ac:dyDescent="0.35">
      <c r="A452" t="str">
        <f>"Sågverksindustri"</f>
        <v>Sågverksindustri</v>
      </c>
      <c r="B452" t="str">
        <f>"Industriarbetsgivarna (Skogsindustrier)"</f>
        <v>Industriarbetsgivarna (Skogsindustrier)</v>
      </c>
      <c r="C452" t="str">
        <f t="shared" si="47"/>
        <v>Sveriges Ingenjörer</v>
      </c>
      <c r="D452" t="str">
        <f t="shared" si="48"/>
        <v>2025-03-31</v>
      </c>
    </row>
    <row r="453" spans="1:4" x14ac:dyDescent="0.35">
      <c r="A453" t="str">
        <f>"Massa- och Pappersindustri"</f>
        <v>Massa- och Pappersindustri</v>
      </c>
      <c r="B453" t="str">
        <f>"Industriarbetsgivarna (Skogsindustrier)"</f>
        <v>Industriarbetsgivarna (Skogsindustrier)</v>
      </c>
      <c r="C453" t="str">
        <f t="shared" si="47"/>
        <v>Sveriges Ingenjörer</v>
      </c>
      <c r="D453" t="str">
        <f t="shared" si="48"/>
        <v>2025-03-31</v>
      </c>
    </row>
    <row r="454" spans="1:4" x14ac:dyDescent="0.35">
      <c r="A454" t="str">
        <f>"Stål- och Metallindustri"</f>
        <v>Stål- och Metallindustri</v>
      </c>
      <c r="B454" t="str">
        <f>"Industriarbetsgivarna (Stål och Metall)"</f>
        <v>Industriarbetsgivarna (Stål och Metall)</v>
      </c>
      <c r="C454" t="str">
        <f t="shared" si="47"/>
        <v>Sveriges Ingenjörer</v>
      </c>
      <c r="D454" t="str">
        <f t="shared" si="48"/>
        <v>2025-03-31</v>
      </c>
    </row>
    <row r="455" spans="1:4" x14ac:dyDescent="0.35">
      <c r="A455" t="str">
        <f>"Tjänstemannaavtal"</f>
        <v>Tjänstemannaavtal</v>
      </c>
      <c r="B455" t="str">
        <f>"Industriarbetsgivarna (SVEMEK)"</f>
        <v>Industriarbetsgivarna (SVEMEK)</v>
      </c>
      <c r="C455" t="str">
        <f t="shared" si="47"/>
        <v>Sveriges Ingenjörer</v>
      </c>
      <c r="D455" t="str">
        <f t="shared" si="48"/>
        <v>2025-03-31</v>
      </c>
    </row>
    <row r="456" spans="1:4" x14ac:dyDescent="0.35">
      <c r="A456" t="str">
        <f>"Innovationsavtalet"</f>
        <v>Innovationsavtalet</v>
      </c>
      <c r="B456" t="str">
        <f>"Innovationsföretagen"</f>
        <v>Innovationsföretagen</v>
      </c>
      <c r="C456" t="str">
        <f t="shared" si="47"/>
        <v>Sveriges Ingenjörer</v>
      </c>
      <c r="D456" t="str">
        <f t="shared" si="48"/>
        <v>2025-03-31</v>
      </c>
    </row>
    <row r="457" spans="1:4" x14ac:dyDescent="0.35">
      <c r="A457" t="str">
        <f>"Tjänstemannaavtal"</f>
        <v>Tjänstemannaavtal</v>
      </c>
      <c r="B457" t="str">
        <f>"Installatörsföretagen"</f>
        <v>Installatörsföretagen</v>
      </c>
      <c r="C457" t="str">
        <f t="shared" si="47"/>
        <v>Sveriges Ingenjörer</v>
      </c>
      <c r="D457" t="str">
        <f>"2025-04-30"</f>
        <v>2025-04-30</v>
      </c>
    </row>
    <row r="458" spans="1:4" x14ac:dyDescent="0.35">
      <c r="A458" t="str">
        <f>"Tjänstemannaavtal"</f>
        <v>Tjänstemannaavtal</v>
      </c>
      <c r="B458" t="str">
        <f>"Livsmedelsföretagen"</f>
        <v>Livsmedelsföretagen</v>
      </c>
      <c r="C458" t="str">
        <f t="shared" si="47"/>
        <v>Sveriges Ingenjörer</v>
      </c>
      <c r="D458" t="str">
        <f>"2025-03-31"</f>
        <v>2025-03-31</v>
      </c>
    </row>
    <row r="459" spans="1:4" x14ac:dyDescent="0.35">
      <c r="A459" t="str">
        <f>"Tjänstemannaavtal"</f>
        <v>Tjänstemannaavtal</v>
      </c>
      <c r="B459" t="str">
        <f>"Maskinentreprenörerna"</f>
        <v>Maskinentreprenörerna</v>
      </c>
      <c r="C459" t="str">
        <f t="shared" si="47"/>
        <v>Sveriges Ingenjörer</v>
      </c>
      <c r="D459" t="str">
        <f t="shared" ref="D459:D467" si="49">"2025-04-30"</f>
        <v>2025-04-30</v>
      </c>
    </row>
    <row r="460" spans="1:4" x14ac:dyDescent="0.35">
      <c r="A460" t="str">
        <f>"Grå avtalet, Tjänstemannaavtal (fd Mia/SIF)"</f>
        <v>Grå avtalet, Tjänstemannaavtal (fd Mia/SIF)</v>
      </c>
      <c r="B460" t="str">
        <f>"Medieföretagen"</f>
        <v>Medieföretagen</v>
      </c>
      <c r="C460" t="str">
        <f t="shared" si="47"/>
        <v>Sveriges Ingenjörer</v>
      </c>
      <c r="D460" t="str">
        <f t="shared" si="49"/>
        <v>2025-04-30</v>
      </c>
    </row>
    <row r="461" spans="1:4" x14ac:dyDescent="0.35">
      <c r="A461" t="str">
        <f>"Tjänstemannaavtal"</f>
        <v>Tjänstemannaavtal</v>
      </c>
      <c r="B461" t="str">
        <f>"Motorbranschens Arbetsgivareförbund"</f>
        <v>Motorbranschens Arbetsgivareförbund</v>
      </c>
      <c r="C461" t="str">
        <f t="shared" si="47"/>
        <v>Sveriges Ingenjörer</v>
      </c>
      <c r="D461" t="str">
        <f t="shared" si="49"/>
        <v>2025-04-30</v>
      </c>
    </row>
    <row r="462" spans="1:4" x14ac:dyDescent="0.35">
      <c r="A462" t="str">
        <f>"Tjänstemannaavtal"</f>
        <v>Tjänstemannaavtal</v>
      </c>
      <c r="B462" t="str">
        <f>"Måleriföretagen i Sverige"</f>
        <v>Måleriföretagen i Sverige</v>
      </c>
      <c r="C462" t="str">
        <f t="shared" si="47"/>
        <v>Sveriges Ingenjörer</v>
      </c>
      <c r="D462" t="str">
        <f t="shared" si="49"/>
        <v>2025-04-30</v>
      </c>
    </row>
    <row r="463" spans="1:4" x14ac:dyDescent="0.35">
      <c r="A463" t="str">
        <f>"Tjänstemannaavtal"</f>
        <v>Tjänstemannaavtal</v>
      </c>
      <c r="B463" t="str">
        <f>"Plåt &amp; Ventföretagen"</f>
        <v>Plåt &amp; Ventföretagen</v>
      </c>
      <c r="C463" t="str">
        <f t="shared" si="47"/>
        <v>Sveriges Ingenjörer</v>
      </c>
      <c r="D463" t="str">
        <f t="shared" si="49"/>
        <v>2025-04-30</v>
      </c>
    </row>
    <row r="464" spans="1:4" x14ac:dyDescent="0.35">
      <c r="A464" t="str">
        <f>"Tjänstemannaavtalet för Transportföretagen"</f>
        <v>Tjänstemannaavtalet för Transportföretagen</v>
      </c>
      <c r="B464" t="str">
        <f>"Sjöfartens Arbetsgivareförbund"</f>
        <v>Sjöfartens Arbetsgivareförbund</v>
      </c>
      <c r="C464" t="str">
        <f t="shared" si="47"/>
        <v>Sveriges Ingenjörer</v>
      </c>
      <c r="D464" t="str">
        <f t="shared" si="49"/>
        <v>2025-04-30</v>
      </c>
    </row>
    <row r="465" spans="1:4" x14ac:dyDescent="0.35">
      <c r="A465" t="str">
        <f>"Tjänstemannaavtalet för Transportföretagen"</f>
        <v>Tjänstemannaavtalet för Transportföretagen</v>
      </c>
      <c r="B465" t="str">
        <f>"Svenska Flygbranschen"</f>
        <v>Svenska Flygbranschen</v>
      </c>
      <c r="C465" t="str">
        <f t="shared" si="47"/>
        <v>Sveriges Ingenjörer</v>
      </c>
      <c r="D465" t="str">
        <f t="shared" si="49"/>
        <v>2025-04-30</v>
      </c>
    </row>
    <row r="466" spans="1:4" x14ac:dyDescent="0.35">
      <c r="A466" t="str">
        <f>"Tjänstemannaavtalet för Transportföretagen"</f>
        <v>Tjänstemannaavtalet för Transportföretagen</v>
      </c>
      <c r="B466" t="str">
        <f>"Sveriges Bussföretag"</f>
        <v>Sveriges Bussföretag</v>
      </c>
      <c r="C466" t="str">
        <f t="shared" si="47"/>
        <v>Sveriges Ingenjörer</v>
      </c>
      <c r="D466" t="str">
        <f t="shared" si="49"/>
        <v>2025-04-30</v>
      </c>
    </row>
    <row r="467" spans="1:4" x14ac:dyDescent="0.35">
      <c r="A467" t="str">
        <f>"Tjänstemannaavtalet för Transportföretagen"</f>
        <v>Tjänstemannaavtalet för Transportföretagen</v>
      </c>
      <c r="B467" t="str">
        <f>"Sveriges Hamnar"</f>
        <v>Sveriges Hamnar</v>
      </c>
      <c r="C467" t="str">
        <f t="shared" si="47"/>
        <v>Sveriges Ingenjörer</v>
      </c>
      <c r="D467" t="str">
        <f t="shared" si="49"/>
        <v>2025-04-30</v>
      </c>
    </row>
    <row r="468" spans="1:4" x14ac:dyDescent="0.35">
      <c r="A468" t="str">
        <f>"IT-branschen"</f>
        <v>IT-branschen</v>
      </c>
      <c r="B468" t="str">
        <f>"TechSverige"</f>
        <v>TechSverige</v>
      </c>
      <c r="C468" t="str">
        <f t="shared" si="47"/>
        <v>Sveriges Ingenjörer</v>
      </c>
      <c r="D468" t="str">
        <f>"2025-03-31"</f>
        <v>2025-03-31</v>
      </c>
    </row>
    <row r="469" spans="1:4" x14ac:dyDescent="0.35">
      <c r="A469" t="str">
        <f>"Telekom"</f>
        <v>Telekom</v>
      </c>
      <c r="B469" t="str">
        <f>"TechSverige"</f>
        <v>TechSverige</v>
      </c>
      <c r="C469" t="str">
        <f t="shared" si="47"/>
        <v>Sveriges Ingenjörer</v>
      </c>
      <c r="D469" t="str">
        <f>"2025-03-31"</f>
        <v>2025-03-31</v>
      </c>
    </row>
    <row r="470" spans="1:4" x14ac:dyDescent="0.35">
      <c r="A470" t="str">
        <f>"Teknikavtal Tjänstemän"</f>
        <v>Teknikavtal Tjänstemän</v>
      </c>
      <c r="B470" t="str">
        <f>"Teknikarbetsgivarna"</f>
        <v>Teknikarbetsgivarna</v>
      </c>
      <c r="C470" t="str">
        <f t="shared" si="47"/>
        <v>Sveriges Ingenjörer</v>
      </c>
      <c r="D470" t="str">
        <f>"2025-03-31"</f>
        <v>2025-03-31</v>
      </c>
    </row>
    <row r="471" spans="1:4" x14ac:dyDescent="0.35">
      <c r="A471" t="str">
        <f>"Tekniktjänsteavtalet"</f>
        <v>Tekniktjänsteavtalet</v>
      </c>
      <c r="B471" t="str">
        <f>"Tekniktjänstearbetsgivarna"</f>
        <v>Tekniktjänstearbetsgivarna</v>
      </c>
      <c r="C471" t="str">
        <f t="shared" si="47"/>
        <v>Sveriges Ingenjörer</v>
      </c>
      <c r="D471" t="str">
        <f>"2025-03-31"</f>
        <v>2025-03-31</v>
      </c>
    </row>
    <row r="472" spans="1:4" x14ac:dyDescent="0.35">
      <c r="A472" t="str">
        <f>"Tjänstemannaavtal"</f>
        <v>Tjänstemannaavtal</v>
      </c>
      <c r="B472" t="str">
        <f>"TEKO, Sveriges Textil- och Modeföretag"</f>
        <v>TEKO, Sveriges Textil- och Modeföretag</v>
      </c>
      <c r="C472" t="str">
        <f t="shared" si="47"/>
        <v>Sveriges Ingenjörer</v>
      </c>
      <c r="D472" t="str">
        <f>"2025-03-31"</f>
        <v>2025-03-31</v>
      </c>
    </row>
    <row r="473" spans="1:4" x14ac:dyDescent="0.35">
      <c r="A473" t="str">
        <f>"Tjästemannaavtal"</f>
        <v>Tjästemannaavtal</v>
      </c>
      <c r="B473" t="str">
        <f>"TGA - TeknikGrossisternas Arbetsgivareförening"</f>
        <v>TGA - TeknikGrossisternas Arbetsgivareförening</v>
      </c>
      <c r="C473" t="str">
        <f t="shared" si="47"/>
        <v>Sveriges Ingenjörer</v>
      </c>
      <c r="D473" t="str">
        <f>""</f>
        <v/>
      </c>
    </row>
    <row r="474" spans="1:4" x14ac:dyDescent="0.35">
      <c r="A474" t="str">
        <f>"Stoppmöbelindustri"</f>
        <v>Stoppmöbelindustri</v>
      </c>
      <c r="B474" t="str">
        <f>"Trä- och Möbelföretagen"</f>
        <v>Trä- och Möbelföretagen</v>
      </c>
      <c r="C474" t="str">
        <f t="shared" si="47"/>
        <v>Sveriges Ingenjörer</v>
      </c>
      <c r="D474" t="str">
        <f>"2025-03-31"</f>
        <v>2025-03-31</v>
      </c>
    </row>
    <row r="475" spans="1:4" x14ac:dyDescent="0.35">
      <c r="A475" t="str">
        <f>"Träindustri"</f>
        <v>Träindustri</v>
      </c>
      <c r="B475" t="str">
        <f>"Trä- och Möbelföretagen"</f>
        <v>Trä- och Möbelföretagen</v>
      </c>
      <c r="C475" t="str">
        <f t="shared" si="47"/>
        <v>Sveriges Ingenjörer</v>
      </c>
      <c r="D475" t="str">
        <f>"2025-03-31"</f>
        <v>2025-03-31</v>
      </c>
    </row>
    <row r="476" spans="1:4" x14ac:dyDescent="0.35">
      <c r="A476" t="str">
        <f>"Spårtrafik"</f>
        <v>Spårtrafik</v>
      </c>
      <c r="B476" t="str">
        <f>"Tågföretagen"</f>
        <v>Tågföretagen</v>
      </c>
      <c r="C476" t="str">
        <f t="shared" si="47"/>
        <v>Sveriges Ingenjörer</v>
      </c>
      <c r="D476" t="str">
        <f>"2025-04-30"</f>
        <v>2025-04-30</v>
      </c>
    </row>
    <row r="477" spans="1:4" x14ac:dyDescent="0.35">
      <c r="A477" t="str">
        <f>"Vård och omsorg"</f>
        <v>Vård och omsorg</v>
      </c>
      <c r="B477" t="str">
        <f>"Arbetsgivaralliansen"</f>
        <v>Arbetsgivaralliansen</v>
      </c>
      <c r="C477" t="str">
        <f t="shared" ref="C477:C483" si="50">"Sveriges Läkarförbund"</f>
        <v>Sveriges Läkarförbund</v>
      </c>
      <c r="D477" t="str">
        <f>"2025-09-30"</f>
        <v>2025-09-30</v>
      </c>
    </row>
    <row r="478" spans="1:4" x14ac:dyDescent="0.35">
      <c r="A478" t="str">
        <f>"Bemanningsavtal Läkare"</f>
        <v>Bemanningsavtal Läkare</v>
      </c>
      <c r="B478" t="str">
        <f>"Kompetensföretagen"</f>
        <v>Kompetensföretagen</v>
      </c>
      <c r="C478" t="str">
        <f t="shared" si="50"/>
        <v>Sveriges Läkarförbund</v>
      </c>
      <c r="D478" t="str">
        <f>""</f>
        <v/>
      </c>
    </row>
    <row r="479" spans="1:4" x14ac:dyDescent="0.35">
      <c r="A479" t="str">
        <f>"OFR - Läkare"</f>
        <v>OFR - Läkare</v>
      </c>
      <c r="B479" t="str">
        <f>"SKR - Sveriges Kommuner och Regioner"</f>
        <v>SKR - Sveriges Kommuner och Regioner</v>
      </c>
      <c r="C479" t="str">
        <f t="shared" si="50"/>
        <v>Sveriges Läkarförbund</v>
      </c>
      <c r="D479" t="str">
        <f>"2025-03-31"</f>
        <v>2025-03-31</v>
      </c>
    </row>
    <row r="480" spans="1:4" x14ac:dyDescent="0.35">
      <c r="A480" t="str">
        <f>"OFR - Läkare"</f>
        <v>OFR - Läkare</v>
      </c>
      <c r="B480" t="str">
        <f>"Sobona"</f>
        <v>Sobona</v>
      </c>
      <c r="C480" t="str">
        <f t="shared" si="50"/>
        <v>Sveriges Läkarförbund</v>
      </c>
      <c r="D480" t="str">
        <f>"2025-03-31"</f>
        <v>2025-03-31</v>
      </c>
    </row>
    <row r="481" spans="1:4" x14ac:dyDescent="0.35">
      <c r="A481" t="str">
        <f>"Företagshälsovård"</f>
        <v>Företagshälsovård</v>
      </c>
      <c r="B481" t="str">
        <f>"Vårdföretagarna"</f>
        <v>Vårdföretagarna</v>
      </c>
      <c r="C481" t="str">
        <f t="shared" si="50"/>
        <v>Sveriges Läkarförbund</v>
      </c>
      <c r="D481" t="str">
        <f>""</f>
        <v/>
      </c>
    </row>
    <row r="482" spans="1:4" x14ac:dyDescent="0.35">
      <c r="A482" t="str">
        <f>"Vård och Behandling samt Omsorgsverksamhet"</f>
        <v>Vård och Behandling samt Omsorgsverksamhet</v>
      </c>
      <c r="B482" t="str">
        <f>"Vårdföretagarna"</f>
        <v>Vårdföretagarna</v>
      </c>
      <c r="C482" t="str">
        <f t="shared" si="50"/>
        <v>Sveriges Läkarförbund</v>
      </c>
      <c r="D482" t="str">
        <f>""</f>
        <v/>
      </c>
    </row>
    <row r="483" spans="1:4" x14ac:dyDescent="0.35">
      <c r="A483" t="str">
        <f>"Äldreomsorg"</f>
        <v>Äldreomsorg</v>
      </c>
      <c r="B483" t="str">
        <f>"Vårdföretagarna"</f>
        <v>Vårdföretagarna</v>
      </c>
      <c r="C483" t="str">
        <f t="shared" si="50"/>
        <v>Sveriges Läkarförbund</v>
      </c>
      <c r="D483" t="str">
        <f>""</f>
        <v/>
      </c>
    </row>
    <row r="484" spans="1:4" x14ac:dyDescent="0.35">
      <c r="A484" t="str">
        <f>"Friskolor"</f>
        <v>Friskolor</v>
      </c>
      <c r="B484" t="str">
        <f>"Almega Tjänsteföretagen"</f>
        <v>Almega Tjänsteföretagen</v>
      </c>
      <c r="C484" t="str">
        <f t="shared" ref="C484:C497" si="51">"Sveriges Lärare"</f>
        <v>Sveriges Lärare</v>
      </c>
      <c r="D484" t="str">
        <f>"2025-08-31"</f>
        <v>2025-08-31</v>
      </c>
    </row>
    <row r="485" spans="1:4" x14ac:dyDescent="0.35">
      <c r="A485" t="str">
        <f>"Högskola"</f>
        <v>Högskola</v>
      </c>
      <c r="B485" t="str">
        <f>"Arbetsgivaralliansen"</f>
        <v>Arbetsgivaralliansen</v>
      </c>
      <c r="C485" t="str">
        <f t="shared" si="51"/>
        <v>Sveriges Lärare</v>
      </c>
      <c r="D485" t="str">
        <f>"2025-06-30"</f>
        <v>2025-06-30</v>
      </c>
    </row>
    <row r="486" spans="1:4" x14ac:dyDescent="0.35">
      <c r="A486" t="str">
        <f>"Skola/utbildning"</f>
        <v>Skola/utbildning</v>
      </c>
      <c r="B486" t="str">
        <f>"Arbetsgivaralliansen"</f>
        <v>Arbetsgivaralliansen</v>
      </c>
      <c r="C486" t="str">
        <f t="shared" si="51"/>
        <v>Sveriges Lärare</v>
      </c>
      <c r="D486" t="str">
        <f>"2025-04-30"</f>
        <v>2025-04-30</v>
      </c>
    </row>
    <row r="487" spans="1:4" x14ac:dyDescent="0.35">
      <c r="A487" t="str">
        <f>"Folkhögskolor"</f>
        <v>Folkhögskolor</v>
      </c>
      <c r="B487" t="str">
        <f>"Arbetsgivaralliansen"</f>
        <v>Arbetsgivaralliansen</v>
      </c>
      <c r="C487" t="str">
        <f t="shared" si="51"/>
        <v>Sveriges Lärare</v>
      </c>
      <c r="D487" t="str">
        <f>"2025-04-30"</f>
        <v>2025-04-30</v>
      </c>
    </row>
    <row r="488" spans="1:4" x14ac:dyDescent="0.35">
      <c r="A488" t="str">
        <f>"Förskolor, fritidshem och fristående skolor"</f>
        <v>Förskolor, fritidshem och fristående skolor</v>
      </c>
      <c r="B488" t="str">
        <f>"Fremia"</f>
        <v>Fremia</v>
      </c>
      <c r="C488" t="str">
        <f t="shared" si="51"/>
        <v>Sveriges Lärare</v>
      </c>
      <c r="D488" t="str">
        <f>"2025-08-31"</f>
        <v>2025-08-31</v>
      </c>
    </row>
    <row r="489" spans="1:4" x14ac:dyDescent="0.35">
      <c r="A489" t="str">
        <f>"Folkhögskolor och utbildningsföretag"</f>
        <v>Folkhögskolor och utbildningsföretag</v>
      </c>
      <c r="B489" t="str">
        <f>"Fremia"</f>
        <v>Fremia</v>
      </c>
      <c r="C489" t="str">
        <f t="shared" si="51"/>
        <v>Sveriges Lärare</v>
      </c>
      <c r="D489" t="str">
        <f>"2025-04-30"</f>
        <v>2025-04-30</v>
      </c>
    </row>
    <row r="490" spans="1:4" x14ac:dyDescent="0.35">
      <c r="A490" t="str">
        <f>"Cirkelledare"</f>
        <v>Cirkelledare</v>
      </c>
      <c r="B490" t="str">
        <f>"Fremia"</f>
        <v>Fremia</v>
      </c>
      <c r="C490" t="str">
        <f t="shared" si="51"/>
        <v>Sveriges Lärare</v>
      </c>
      <c r="D490" t="str">
        <f>"2025-08-31"</f>
        <v>2025-08-31</v>
      </c>
    </row>
    <row r="491" spans="1:4" x14ac:dyDescent="0.35">
      <c r="A491" t="str">
        <f>"Enskilda högskolor"</f>
        <v>Enskilda högskolor</v>
      </c>
      <c r="B491" t="str">
        <f>"Fremia"</f>
        <v>Fremia</v>
      </c>
      <c r="C491" t="str">
        <f t="shared" si="51"/>
        <v>Sveriges Lärare</v>
      </c>
      <c r="D491" t="str">
        <f>"2025-05-31"</f>
        <v>2025-05-31</v>
      </c>
    </row>
    <row r="492" spans="1:4" x14ac:dyDescent="0.35">
      <c r="A492" t="str">
        <f>"Bemanningsavtal -Lärare"</f>
        <v>Bemanningsavtal -Lärare</v>
      </c>
      <c r="B492" t="str">
        <f>"Kompetensföretagen"</f>
        <v>Kompetensföretagen</v>
      </c>
      <c r="C492" t="str">
        <f t="shared" si="51"/>
        <v>Sveriges Lärare</v>
      </c>
      <c r="D492" t="str">
        <f>"2025-08-31"</f>
        <v>2025-08-31</v>
      </c>
    </row>
    <row r="493" spans="1:4" x14ac:dyDescent="0.35">
      <c r="A493" t="str">
        <f>"BEA"</f>
        <v>BEA</v>
      </c>
      <c r="B493" t="str">
        <f>"SKR - Sveriges Kommuner och Regioner"</f>
        <v>SKR - Sveriges Kommuner och Regioner</v>
      </c>
      <c r="C493" t="str">
        <f t="shared" si="51"/>
        <v>Sveriges Lärare</v>
      </c>
      <c r="D493" t="str">
        <f>""</f>
        <v/>
      </c>
    </row>
    <row r="494" spans="1:4" x14ac:dyDescent="0.35">
      <c r="A494" t="str">
        <f>"OFR - Lärare"</f>
        <v>OFR - Lärare</v>
      </c>
      <c r="B494" t="str">
        <f>"SKR - Sveriges Kommuner och Regioner"</f>
        <v>SKR - Sveriges Kommuner och Regioner</v>
      </c>
      <c r="C494" t="str">
        <f t="shared" si="51"/>
        <v>Sveriges Lärare</v>
      </c>
      <c r="D494" t="str">
        <f>"2025-03-31"</f>
        <v>2025-03-31</v>
      </c>
    </row>
    <row r="495" spans="1:4" x14ac:dyDescent="0.35">
      <c r="A495" t="str">
        <f>"BEA"</f>
        <v>BEA</v>
      </c>
      <c r="B495" t="str">
        <f>"Sobona"</f>
        <v>Sobona</v>
      </c>
      <c r="C495" t="str">
        <f t="shared" si="51"/>
        <v>Sveriges Lärare</v>
      </c>
      <c r="D495" t="str">
        <f>""</f>
        <v/>
      </c>
    </row>
    <row r="496" spans="1:4" x14ac:dyDescent="0.35">
      <c r="A496" t="str">
        <f>"OFR - Lärare"</f>
        <v>OFR - Lärare</v>
      </c>
      <c r="B496" t="str">
        <f>"Sobona"</f>
        <v>Sobona</v>
      </c>
      <c r="C496" t="str">
        <f t="shared" si="51"/>
        <v>Sveriges Lärare</v>
      </c>
      <c r="D496" t="str">
        <f>"2025-03-31"</f>
        <v>2025-03-31</v>
      </c>
    </row>
    <row r="497" spans="1:4" x14ac:dyDescent="0.35">
      <c r="A497" t="str">
        <f>"Svenska Kyrkan"</f>
        <v>Svenska Kyrkan</v>
      </c>
      <c r="B497" t="str">
        <f>"Svenska Kyrkan"</f>
        <v>Svenska Kyrkan</v>
      </c>
      <c r="C497" t="str">
        <f t="shared" si="51"/>
        <v>Sveriges Lärare</v>
      </c>
      <c r="D497" t="str">
        <f>"2025-04-30"</f>
        <v>2025-04-30</v>
      </c>
    </row>
    <row r="498" spans="1:4" x14ac:dyDescent="0.35">
      <c r="A498" t="str">
        <f>"Förskolor, fritidshem och fristående skolor"</f>
        <v>Förskolor, fritidshem och fristående skolor</v>
      </c>
      <c r="B498" t="str">
        <f>"Fremia"</f>
        <v>Fremia</v>
      </c>
      <c r="C498" t="str">
        <f>"Sveriges Skolledare"</f>
        <v>Sveriges Skolledare</v>
      </c>
      <c r="D498" t="str">
        <f>"2025-08-31"</f>
        <v>2025-08-31</v>
      </c>
    </row>
    <row r="499" spans="1:4" x14ac:dyDescent="0.35">
      <c r="A499" t="str">
        <f>"Djursjukvård och Djurparker"</f>
        <v>Djursjukvård och Djurparker</v>
      </c>
      <c r="B499" t="str">
        <f>"Gröna arbetsgivare"</f>
        <v>Gröna arbetsgivare</v>
      </c>
      <c r="C499" t="str">
        <f>"Sveriges Veterinärförbund"</f>
        <v>Sveriges Veterinärförbund</v>
      </c>
      <c r="D499" t="str">
        <f>"2025-05-31"</f>
        <v>2025-05-31</v>
      </c>
    </row>
    <row r="500" spans="1:4" x14ac:dyDescent="0.35">
      <c r="A500" t="str">
        <f>"Hushållningssällskap och Husdjursföreningar"</f>
        <v>Hushållningssällskap och Husdjursföreningar</v>
      </c>
      <c r="B500" t="str">
        <f>"Gröna arbetsgivare"</f>
        <v>Gröna arbetsgivare</v>
      </c>
      <c r="C500" t="str">
        <f>"Sveriges Veterinärförbund"</f>
        <v>Sveriges Veterinärförbund</v>
      </c>
      <c r="D500" t="str">
        <f>"2025-05-31"</f>
        <v>2025-05-31</v>
      </c>
    </row>
    <row r="501" spans="1:4" x14ac:dyDescent="0.35">
      <c r="A501" t="str">
        <f>"Musiker, korister och repetitörer vid Orkesterföretag m fl."</f>
        <v>Musiker, korister och repetitörer vid Orkesterföretag m fl.</v>
      </c>
      <c r="B501" t="str">
        <f>"Svensk Scenkonst"</f>
        <v>Svensk Scenkonst</v>
      </c>
      <c r="C501" t="str">
        <f>"SYMF"</f>
        <v>SYMF</v>
      </c>
      <c r="D501" t="str">
        <f>"2025-03-31"</f>
        <v>2025-03-31</v>
      </c>
    </row>
    <row r="502" spans="1:4" x14ac:dyDescent="0.35">
      <c r="A502" t="str">
        <f>"Tandläkarmottagningar och tandregleringsverksamheter"</f>
        <v>Tandläkarmottagningar och tandregleringsverksamheter</v>
      </c>
      <c r="B502" t="str">
        <f>"Fremia"</f>
        <v>Fremia</v>
      </c>
      <c r="C502" t="str">
        <f>"Tjänstetandläkarna"</f>
        <v>Tjänstetandläkarna</v>
      </c>
      <c r="D502" t="str">
        <f>""</f>
        <v/>
      </c>
    </row>
    <row r="503" spans="1:4" x14ac:dyDescent="0.35">
      <c r="A503" t="str">
        <f>"Utveckling och tjänster"</f>
        <v>Utveckling och tjänster</v>
      </c>
      <c r="B503" t="str">
        <f t="shared" ref="B503:B509" si="52">"Almega Tjänsteförbunden"</f>
        <v>Almega Tjänsteförbunden</v>
      </c>
      <c r="C503" t="str">
        <f t="shared" ref="C503:C534" si="53">"Unionen"</f>
        <v>Unionen</v>
      </c>
      <c r="D503" t="str">
        <f>"2025-03-31"</f>
        <v>2025-03-31</v>
      </c>
    </row>
    <row r="504" spans="1:4" x14ac:dyDescent="0.35">
      <c r="A504" t="str">
        <f>"Almega Tjänsteförbunden, Serviceföretagen Tjänstemannaavtal"</f>
        <v>Almega Tjänsteförbunden, Serviceföretagen Tjänstemannaavtal</v>
      </c>
      <c r="B504" t="str">
        <f t="shared" si="52"/>
        <v>Almega Tjänsteförbunden</v>
      </c>
      <c r="C504" t="str">
        <f t="shared" si="53"/>
        <v>Unionen</v>
      </c>
      <c r="D504" t="str">
        <f>"2025-03-31"</f>
        <v>2025-03-31</v>
      </c>
    </row>
    <row r="505" spans="1:4" x14ac:dyDescent="0.35">
      <c r="A505" t="str">
        <f>"Apotek"</f>
        <v>Apotek</v>
      </c>
      <c r="B505" t="str">
        <f t="shared" si="52"/>
        <v>Almega Tjänsteförbunden</v>
      </c>
      <c r="C505" t="str">
        <f t="shared" si="53"/>
        <v>Unionen</v>
      </c>
      <c r="D505" t="str">
        <f>"2025-04-30"</f>
        <v>2025-04-30</v>
      </c>
    </row>
    <row r="506" spans="1:4" x14ac:dyDescent="0.35">
      <c r="A506" t="str">
        <f>"Utbildningsföretagen"</f>
        <v>Utbildningsföretagen</v>
      </c>
      <c r="B506" t="str">
        <f t="shared" si="52"/>
        <v>Almega Tjänsteförbunden</v>
      </c>
      <c r="C506" t="str">
        <f t="shared" si="53"/>
        <v>Unionen</v>
      </c>
      <c r="D506" t="str">
        <f>"2025-03-31"</f>
        <v>2025-03-31</v>
      </c>
    </row>
    <row r="507" spans="1:4" x14ac:dyDescent="0.35">
      <c r="A507" t="str">
        <f>"Fastigheter"</f>
        <v>Fastigheter</v>
      </c>
      <c r="B507" t="str">
        <f t="shared" si="52"/>
        <v>Almega Tjänsteförbunden</v>
      </c>
      <c r="C507" t="str">
        <f t="shared" si="53"/>
        <v>Unionen</v>
      </c>
      <c r="D507" t="str">
        <f>"2025-05-31"</f>
        <v>2025-05-31</v>
      </c>
    </row>
    <row r="508" spans="1:4" x14ac:dyDescent="0.35">
      <c r="A508" t="str">
        <f>"Spel och internationella kasinon"</f>
        <v>Spel och internationella kasinon</v>
      </c>
      <c r="B508" t="str">
        <f t="shared" si="52"/>
        <v>Almega Tjänsteförbunden</v>
      </c>
      <c r="C508" t="str">
        <f t="shared" si="53"/>
        <v>Unionen</v>
      </c>
      <c r="D508" t="str">
        <f>"2025-06-30"</f>
        <v>2025-06-30</v>
      </c>
    </row>
    <row r="509" spans="1:4" x14ac:dyDescent="0.35">
      <c r="A509" t="str">
        <f>"Lagring och Distribution"</f>
        <v>Lagring och Distribution</v>
      </c>
      <c r="B509" t="str">
        <f t="shared" si="52"/>
        <v>Almega Tjänsteförbunden</v>
      </c>
      <c r="C509" t="str">
        <f t="shared" si="53"/>
        <v>Unionen</v>
      </c>
      <c r="D509" t="str">
        <f>"2025-04-30"</f>
        <v>2025-04-30</v>
      </c>
    </row>
    <row r="510" spans="1:4" x14ac:dyDescent="0.35">
      <c r="A510" t="str">
        <f>"Tjänstemän i tjänste- och Medieföretag"</f>
        <v>Tjänstemän i tjänste- och Medieföretag</v>
      </c>
      <c r="B510" t="str">
        <f>"Almega Tjänsteföretagen"</f>
        <v>Almega Tjänsteföretagen</v>
      </c>
      <c r="C510" t="str">
        <f t="shared" si="53"/>
        <v>Unionen</v>
      </c>
      <c r="D510" t="str">
        <f>"2025-04-30"</f>
        <v>2025-04-30</v>
      </c>
    </row>
    <row r="511" spans="1:4" x14ac:dyDescent="0.35">
      <c r="A511" t="str">
        <f>"Gym- och friskvårdsanläggningar"</f>
        <v>Gym- och friskvårdsanläggningar</v>
      </c>
      <c r="B511" t="str">
        <f>"Almega Tjänsteföretagen"</f>
        <v>Almega Tjänsteföretagen</v>
      </c>
      <c r="C511" t="str">
        <f t="shared" si="53"/>
        <v>Unionen</v>
      </c>
      <c r="D511" t="str">
        <f>"2025-08-31"</f>
        <v>2025-08-31</v>
      </c>
    </row>
    <row r="512" spans="1:4" x14ac:dyDescent="0.35">
      <c r="A512" t="str">
        <f>"Call/contactcenter- och marknadsundersökningsföretag"</f>
        <v>Call/contactcenter- och marknadsundersökningsföretag</v>
      </c>
      <c r="B512" t="str">
        <f>"Almega Tjänsteföretagen"</f>
        <v>Almega Tjänsteföretagen</v>
      </c>
      <c r="C512" t="str">
        <f t="shared" si="53"/>
        <v>Unionen</v>
      </c>
      <c r="D512" t="str">
        <f>"2025-10-31"</f>
        <v>2025-10-31</v>
      </c>
    </row>
    <row r="513" spans="1:4" x14ac:dyDescent="0.35">
      <c r="A513" t="str">
        <f>"Revisions- och konsultföretag"</f>
        <v>Revisions- och konsultföretag</v>
      </c>
      <c r="B513" t="str">
        <f>"Almega Tjänsteföretagen"</f>
        <v>Almega Tjänsteföretagen</v>
      </c>
      <c r="C513" t="str">
        <f t="shared" si="53"/>
        <v>Unionen</v>
      </c>
      <c r="D513" t="str">
        <f>"2025-12-31"</f>
        <v>2025-12-31</v>
      </c>
    </row>
    <row r="514" spans="1:4" x14ac:dyDescent="0.35">
      <c r="A514" t="str">
        <f>"Fotbollsspelare"</f>
        <v>Fotbollsspelare</v>
      </c>
      <c r="B514" t="str">
        <f t="shared" ref="B514:B520" si="54">"Arbetsgivaralliansen"</f>
        <v>Arbetsgivaralliansen</v>
      </c>
      <c r="C514" t="str">
        <f t="shared" si="53"/>
        <v>Unionen</v>
      </c>
      <c r="D514" t="str">
        <f>"2019-12-31"</f>
        <v>2019-12-31</v>
      </c>
    </row>
    <row r="515" spans="1:4" x14ac:dyDescent="0.35">
      <c r="A515" t="str">
        <f>"Ishockey - Svenska Hockeyligan"</f>
        <v>Ishockey - Svenska Hockeyligan</v>
      </c>
      <c r="B515" t="str">
        <f t="shared" si="54"/>
        <v>Arbetsgivaralliansen</v>
      </c>
      <c r="C515" t="str">
        <f t="shared" si="53"/>
        <v>Unionen</v>
      </c>
      <c r="D515" t="str">
        <f>"2019-04-30"</f>
        <v>2019-04-30</v>
      </c>
    </row>
    <row r="516" spans="1:4" x14ac:dyDescent="0.35">
      <c r="A516" t="str">
        <f>"Ishockey - Allsvenskan"</f>
        <v>Ishockey - Allsvenskan</v>
      </c>
      <c r="B516" t="str">
        <f t="shared" si="54"/>
        <v>Arbetsgivaralliansen</v>
      </c>
      <c r="C516" t="str">
        <f t="shared" si="53"/>
        <v>Unionen</v>
      </c>
      <c r="D516" t="str">
        <f>"2016-04-30"</f>
        <v>2016-04-30</v>
      </c>
    </row>
    <row r="517" spans="1:4" x14ac:dyDescent="0.35">
      <c r="A517" t="str">
        <f>"Ideella och idéburna organisationer"</f>
        <v>Ideella och idéburna organisationer</v>
      </c>
      <c r="B517" t="str">
        <f t="shared" si="54"/>
        <v>Arbetsgivaralliansen</v>
      </c>
      <c r="C517" t="str">
        <f t="shared" si="53"/>
        <v>Unionen</v>
      </c>
      <c r="D517" t="str">
        <f>"2025-04-30"</f>
        <v>2025-04-30</v>
      </c>
    </row>
    <row r="518" spans="1:4" x14ac:dyDescent="0.35">
      <c r="A518" t="str">
        <f>"Upplevelse och kultur"</f>
        <v>Upplevelse och kultur</v>
      </c>
      <c r="B518" t="str">
        <f t="shared" si="54"/>
        <v>Arbetsgivaralliansen</v>
      </c>
      <c r="C518" t="str">
        <f t="shared" si="53"/>
        <v>Unionen</v>
      </c>
      <c r="D518" t="str">
        <f>"2025-04-30"</f>
        <v>2025-04-30</v>
      </c>
    </row>
    <row r="519" spans="1:4" x14ac:dyDescent="0.35">
      <c r="A519" t="str">
        <f>"Idrottsavtalet"</f>
        <v>Idrottsavtalet</v>
      </c>
      <c r="B519" t="str">
        <f t="shared" si="54"/>
        <v>Arbetsgivaralliansen</v>
      </c>
      <c r="C519" t="str">
        <f t="shared" si="53"/>
        <v>Unionen</v>
      </c>
      <c r="D519" t="str">
        <f>"2025-10-31"</f>
        <v>2025-10-31</v>
      </c>
    </row>
    <row r="520" spans="1:4" x14ac:dyDescent="0.35">
      <c r="A520" t="str">
        <f>"Fotbollsspelare i OBOS Damallsvenskan och Elitettan"</f>
        <v>Fotbollsspelare i OBOS Damallsvenskan och Elitettan</v>
      </c>
      <c r="B520" t="str">
        <f t="shared" si="54"/>
        <v>Arbetsgivaralliansen</v>
      </c>
      <c r="C520" t="str">
        <f t="shared" si="53"/>
        <v>Unionen</v>
      </c>
      <c r="D520" t="str">
        <f>"2026-11-30"</f>
        <v>2026-11-30</v>
      </c>
    </row>
    <row r="521" spans="1:4" x14ac:dyDescent="0.35">
      <c r="A521" t="str">
        <f>"Tjänstemannaavtalet för Transportföretagen"</f>
        <v>Tjänstemannaavtalet för Transportföretagen</v>
      </c>
      <c r="B521" t="str">
        <f>"Biltrafikens Arbetsgivareförbund"</f>
        <v>Biltrafikens Arbetsgivareförbund</v>
      </c>
      <c r="C521" t="str">
        <f t="shared" si="53"/>
        <v>Unionen</v>
      </c>
      <c r="D521" t="str">
        <f>"2025-04-30"</f>
        <v>2025-04-30</v>
      </c>
    </row>
    <row r="522" spans="1:4" x14ac:dyDescent="0.35">
      <c r="A522" t="str">
        <f>"Tjänstemannaavtal inom byggbranschen"</f>
        <v>Tjänstemannaavtal inom byggbranschen</v>
      </c>
      <c r="B522" t="str">
        <f>"Byggföretagen"</f>
        <v>Byggföretagen</v>
      </c>
      <c r="C522" t="str">
        <f t="shared" si="53"/>
        <v>Unionen</v>
      </c>
      <c r="D522" t="str">
        <f>"2025-03-31"</f>
        <v>2025-03-31</v>
      </c>
    </row>
    <row r="523" spans="1:4" x14ac:dyDescent="0.35">
      <c r="A523" t="str">
        <f>"Energiavtal"</f>
        <v>Energiavtal</v>
      </c>
      <c r="B523" t="str">
        <f>"EnergiFöretagens Arbetsgivareförening EFA"</f>
        <v>EnergiFöretagens Arbetsgivareförening EFA</v>
      </c>
      <c r="C523" t="str">
        <f t="shared" si="53"/>
        <v>Unionen</v>
      </c>
      <c r="D523" t="str">
        <f>"2025-03-31"</f>
        <v>2025-03-31</v>
      </c>
    </row>
    <row r="524" spans="1:4" x14ac:dyDescent="0.35">
      <c r="A524" t="str">
        <f>"I-avtalet (Tjänstemannaavtal)"</f>
        <v>I-avtalet (Tjänstemannaavtal)</v>
      </c>
      <c r="B524" t="str">
        <f>"Fastigo - Fastighetsbranschens Arbetsgivarorganisation"</f>
        <v>Fastigo - Fastighetsbranschens Arbetsgivarorganisation</v>
      </c>
      <c r="C524" t="str">
        <f t="shared" si="53"/>
        <v>Unionen</v>
      </c>
      <c r="D524" t="str">
        <f>"2025-03-31"</f>
        <v>2025-03-31</v>
      </c>
    </row>
    <row r="525" spans="1:4" x14ac:dyDescent="0.35">
      <c r="A525" t="str">
        <f>"Tjänstemän - Civilsamhället"</f>
        <v>Tjänstemän - Civilsamhället</v>
      </c>
      <c r="B525" t="str">
        <f>"Fremia"</f>
        <v>Fremia</v>
      </c>
      <c r="C525" t="str">
        <f t="shared" si="53"/>
        <v>Unionen</v>
      </c>
      <c r="D525" t="str">
        <f>"2025-04-30"</f>
        <v>2025-04-30</v>
      </c>
    </row>
    <row r="526" spans="1:4" x14ac:dyDescent="0.35">
      <c r="A526" t="str">
        <f>"Tjänstemannaavtal (direktanställda tjänstemän)"</f>
        <v>Tjänstemannaavtal (direktanställda tjänstemän)</v>
      </c>
      <c r="B526" t="str">
        <f>"Fremia"</f>
        <v>Fremia</v>
      </c>
      <c r="C526" t="str">
        <f t="shared" si="53"/>
        <v>Unionen</v>
      </c>
      <c r="D526" t="str">
        <f>"2025-03-31"</f>
        <v>2025-03-31</v>
      </c>
    </row>
    <row r="527" spans="1:4" x14ac:dyDescent="0.35">
      <c r="A527" t="str">
        <f>"Tjänstemannaavtal (anvisade tjänstemän)"</f>
        <v>Tjänstemannaavtal (anvisade tjänstemän)</v>
      </c>
      <c r="B527" t="str">
        <f>"Fremia"</f>
        <v>Fremia</v>
      </c>
      <c r="C527" t="str">
        <f t="shared" si="53"/>
        <v>Unionen</v>
      </c>
      <c r="D527" t="str">
        <f>"2025-03-31"</f>
        <v>2025-03-31</v>
      </c>
    </row>
    <row r="528" spans="1:4" x14ac:dyDescent="0.35">
      <c r="A528" t="str">
        <f>"Tjänstemän inom näringslivet"</f>
        <v>Tjänstemän inom näringslivet</v>
      </c>
      <c r="B528" t="str">
        <f>"Fremia"</f>
        <v>Fremia</v>
      </c>
      <c r="C528" t="str">
        <f t="shared" si="53"/>
        <v>Unionen</v>
      </c>
      <c r="D528" t="str">
        <f>"2025-03-31"</f>
        <v>2025-03-31</v>
      </c>
    </row>
    <row r="529" spans="1:4" x14ac:dyDescent="0.35">
      <c r="A529" t="str">
        <f>"Tjänstemannavtal (Visita)"</f>
        <v>Tjänstemannavtal (Visita)</v>
      </c>
      <c r="B529" t="str">
        <f>"Fremia"</f>
        <v>Fremia</v>
      </c>
      <c r="C529" t="str">
        <f t="shared" si="53"/>
        <v>Unionen</v>
      </c>
      <c r="D529" t="str">
        <f>"2025-05-31"</f>
        <v>2025-05-31</v>
      </c>
    </row>
    <row r="530" spans="1:4" x14ac:dyDescent="0.35">
      <c r="A530" t="str">
        <f>"Tjänstemannaavtal"</f>
        <v>Tjänstemannaavtal</v>
      </c>
      <c r="B530" t="str">
        <f>"Glasbranschföreningen"</f>
        <v>Glasbranschföreningen</v>
      </c>
      <c r="C530" t="str">
        <f t="shared" si="53"/>
        <v>Unionen</v>
      </c>
      <c r="D530" t="str">
        <f>"2025-04-30"</f>
        <v>2025-04-30</v>
      </c>
    </row>
    <row r="531" spans="1:4" x14ac:dyDescent="0.35">
      <c r="A531" t="str">
        <f>"Tjänstemannaavtal"</f>
        <v>Tjänstemannaavtal</v>
      </c>
      <c r="B531" t="str">
        <f>"Grafiska Företagens Förbund"</f>
        <v>Grafiska Företagens Förbund</v>
      </c>
      <c r="C531" t="str">
        <f t="shared" si="53"/>
        <v>Unionen</v>
      </c>
      <c r="D531" t="str">
        <f>"2025-03-31"</f>
        <v>2025-03-31</v>
      </c>
    </row>
    <row r="532" spans="1:4" x14ac:dyDescent="0.35">
      <c r="A532" t="str">
        <f>"Virkesmätning"</f>
        <v>Virkesmätning</v>
      </c>
      <c r="B532" t="str">
        <f t="shared" ref="B532:B538" si="55">"Gröna arbetsgivare"</f>
        <v>Gröna arbetsgivare</v>
      </c>
      <c r="C532" t="str">
        <f t="shared" si="53"/>
        <v>Unionen</v>
      </c>
      <c r="D532" t="str">
        <f>"2025-03-31"</f>
        <v>2025-03-31</v>
      </c>
    </row>
    <row r="533" spans="1:4" x14ac:dyDescent="0.35">
      <c r="A533" t="str">
        <f>"Tjänstemannaavtal Skogsbruk"</f>
        <v>Tjänstemannaavtal Skogsbruk</v>
      </c>
      <c r="B533" t="str">
        <f t="shared" si="55"/>
        <v>Gröna arbetsgivare</v>
      </c>
      <c r="C533" t="str">
        <f t="shared" si="53"/>
        <v>Unionen</v>
      </c>
      <c r="D533" t="str">
        <f>"2025-03-31"</f>
        <v>2025-03-31</v>
      </c>
    </row>
    <row r="534" spans="1:4" x14ac:dyDescent="0.35">
      <c r="A534" t="str">
        <f>"Tjänstemannaavtal Jordbruksrelaterade företag"</f>
        <v>Tjänstemannaavtal Jordbruksrelaterade företag</v>
      </c>
      <c r="B534" t="str">
        <f t="shared" si="55"/>
        <v>Gröna arbetsgivare</v>
      </c>
      <c r="C534" t="str">
        <f t="shared" si="53"/>
        <v>Unionen</v>
      </c>
      <c r="D534" t="str">
        <f>"2025-05-31"</f>
        <v>2025-05-31</v>
      </c>
    </row>
    <row r="535" spans="1:4" x14ac:dyDescent="0.35">
      <c r="A535" t="str">
        <f>"Tjänstemannaavtal inom Trädgårdsodling och Trädgårdsanläggning"</f>
        <v>Tjänstemannaavtal inom Trädgårdsodling och Trädgårdsanläggning</v>
      </c>
      <c r="B535" t="str">
        <f t="shared" si="55"/>
        <v>Gröna arbetsgivare</v>
      </c>
      <c r="C535" t="str">
        <f t="shared" ref="C535:C566" si="56">"Unionen"</f>
        <v>Unionen</v>
      </c>
      <c r="D535" t="str">
        <f>"2025-05-31"</f>
        <v>2025-05-31</v>
      </c>
    </row>
    <row r="536" spans="1:4" x14ac:dyDescent="0.35">
      <c r="A536" t="str">
        <f>"Tjänstemän inom Djursjukvård och Djurparker"</f>
        <v>Tjänstemän inom Djursjukvård och Djurparker</v>
      </c>
      <c r="B536" t="str">
        <f t="shared" si="55"/>
        <v>Gröna arbetsgivare</v>
      </c>
      <c r="C536" t="str">
        <f t="shared" si="56"/>
        <v>Unionen</v>
      </c>
      <c r="D536" t="str">
        <f>"2025-05-31"</f>
        <v>2025-05-31</v>
      </c>
    </row>
    <row r="537" spans="1:4" x14ac:dyDescent="0.35">
      <c r="A537" t="str">
        <f>"Tjänstemän inom Golf"</f>
        <v>Tjänstemän inom Golf</v>
      </c>
      <c r="B537" t="str">
        <f t="shared" si="55"/>
        <v>Gröna arbetsgivare</v>
      </c>
      <c r="C537" t="str">
        <f t="shared" si="56"/>
        <v>Unionen</v>
      </c>
      <c r="D537" t="str">
        <f>"2025-05-31"</f>
        <v>2025-05-31</v>
      </c>
    </row>
    <row r="538" spans="1:4" x14ac:dyDescent="0.35">
      <c r="A538" t="str">
        <f>"Tjänstemän inom Hushållningssällskap och Husdjursföreningar"</f>
        <v>Tjänstemän inom Hushållningssällskap och Husdjursföreningar</v>
      </c>
      <c r="B538" t="str">
        <f t="shared" si="55"/>
        <v>Gröna arbetsgivare</v>
      </c>
      <c r="C538" t="str">
        <f t="shared" si="56"/>
        <v>Unionen</v>
      </c>
      <c r="D538" t="str">
        <f>"2025-05-31"</f>
        <v>2025-05-31</v>
      </c>
    </row>
    <row r="539" spans="1:4" x14ac:dyDescent="0.35">
      <c r="A539" t="str">
        <f>"Tjänstemannaavtal"</f>
        <v>Tjänstemannaavtal</v>
      </c>
      <c r="B539" t="str">
        <f>"IKEM – Innovations-och kemiarbetsgivarna"</f>
        <v>IKEM – Innovations-och kemiarbetsgivarna</v>
      </c>
      <c r="C539" t="str">
        <f t="shared" si="56"/>
        <v>Unionen</v>
      </c>
      <c r="D539" t="str">
        <f t="shared" ref="D539:D546" si="57">"2025-03-31"</f>
        <v>2025-03-31</v>
      </c>
    </row>
    <row r="540" spans="1:4" x14ac:dyDescent="0.35">
      <c r="A540" t="str">
        <f>"Tjänstemannaavtal"</f>
        <v>Tjänstemannaavtal</v>
      </c>
      <c r="B540" t="str">
        <f>"Industriarbetsgivarna (Byggnadsämnesindustrin)"</f>
        <v>Industriarbetsgivarna (Byggnadsämnesindustrin)</v>
      </c>
      <c r="C540" t="str">
        <f t="shared" si="56"/>
        <v>Unionen</v>
      </c>
      <c r="D540" t="str">
        <f t="shared" si="57"/>
        <v>2025-03-31</v>
      </c>
    </row>
    <row r="541" spans="1:4" x14ac:dyDescent="0.35">
      <c r="A541" t="str">
        <f>"Gruvindustri"</f>
        <v>Gruvindustri</v>
      </c>
      <c r="B541" t="str">
        <f>"industriarbetsgivarna (Gruvorna)"</f>
        <v>industriarbetsgivarna (Gruvorna)</v>
      </c>
      <c r="C541" t="str">
        <f t="shared" si="56"/>
        <v>Unionen</v>
      </c>
      <c r="D541" t="str">
        <f t="shared" si="57"/>
        <v>2025-03-31</v>
      </c>
    </row>
    <row r="542" spans="1:4" x14ac:dyDescent="0.35">
      <c r="A542" t="str">
        <f>"Sågverksindustri"</f>
        <v>Sågverksindustri</v>
      </c>
      <c r="B542" t="str">
        <f>"Industriarbetsgivarna (Skogsindustrier)"</f>
        <v>Industriarbetsgivarna (Skogsindustrier)</v>
      </c>
      <c r="C542" t="str">
        <f t="shared" si="56"/>
        <v>Unionen</v>
      </c>
      <c r="D542" t="str">
        <f t="shared" si="57"/>
        <v>2025-03-31</v>
      </c>
    </row>
    <row r="543" spans="1:4" x14ac:dyDescent="0.35">
      <c r="A543" t="str">
        <f>"Massa- och Pappersindustri"</f>
        <v>Massa- och Pappersindustri</v>
      </c>
      <c r="B543" t="str">
        <f>"Industriarbetsgivarna (Skogsindustrier)"</f>
        <v>Industriarbetsgivarna (Skogsindustrier)</v>
      </c>
      <c r="C543" t="str">
        <f t="shared" si="56"/>
        <v>Unionen</v>
      </c>
      <c r="D543" t="str">
        <f t="shared" si="57"/>
        <v>2025-03-31</v>
      </c>
    </row>
    <row r="544" spans="1:4" x14ac:dyDescent="0.35">
      <c r="A544" t="str">
        <f>"Stål- och Metallindustri"</f>
        <v>Stål- och Metallindustri</v>
      </c>
      <c r="B544" t="str">
        <f>"Industriarbetsgivarna (Stål och Metall)"</f>
        <v>Industriarbetsgivarna (Stål och Metall)</v>
      </c>
      <c r="C544" t="str">
        <f t="shared" si="56"/>
        <v>Unionen</v>
      </c>
      <c r="D544" t="str">
        <f t="shared" si="57"/>
        <v>2025-03-31</v>
      </c>
    </row>
    <row r="545" spans="1:4" x14ac:dyDescent="0.35">
      <c r="A545" t="str">
        <f>"Tjänstemannaavtal"</f>
        <v>Tjänstemannaavtal</v>
      </c>
      <c r="B545" t="str">
        <f>"Industriarbetsgivarna (SVEMEK)"</f>
        <v>Industriarbetsgivarna (SVEMEK)</v>
      </c>
      <c r="C545" t="str">
        <f t="shared" si="56"/>
        <v>Unionen</v>
      </c>
      <c r="D545" t="str">
        <f t="shared" si="57"/>
        <v>2025-03-31</v>
      </c>
    </row>
    <row r="546" spans="1:4" x14ac:dyDescent="0.35">
      <c r="A546" t="str">
        <f>"Innovationsavtalet"</f>
        <v>Innovationsavtalet</v>
      </c>
      <c r="B546" t="str">
        <f>"Innovationsföretagen"</f>
        <v>Innovationsföretagen</v>
      </c>
      <c r="C546" t="str">
        <f t="shared" si="56"/>
        <v>Unionen</v>
      </c>
      <c r="D546" t="str">
        <f t="shared" si="57"/>
        <v>2025-03-31</v>
      </c>
    </row>
    <row r="547" spans="1:4" x14ac:dyDescent="0.35">
      <c r="A547" t="str">
        <f>"Tjänstemannaavtal"</f>
        <v>Tjänstemannaavtal</v>
      </c>
      <c r="B547" t="str">
        <f>"Installatörsföretagen"</f>
        <v>Installatörsföretagen</v>
      </c>
      <c r="C547" t="str">
        <f t="shared" si="56"/>
        <v>Unionen</v>
      </c>
      <c r="D547" t="str">
        <f>"2025-04-30"</f>
        <v>2025-04-30</v>
      </c>
    </row>
    <row r="548" spans="1:4" x14ac:dyDescent="0.35">
      <c r="A548" t="str">
        <f>"Kompetensföretagens tjänstemannaavtal"</f>
        <v>Kompetensföretagens tjänstemannaavtal</v>
      </c>
      <c r="B548" t="str">
        <f>"Kompetensföretagen"</f>
        <v>Kompetensföretagen</v>
      </c>
      <c r="C548" t="str">
        <f t="shared" si="56"/>
        <v>Unionen</v>
      </c>
      <c r="D548" t="str">
        <f>"2025-04-30"</f>
        <v>2025-04-30</v>
      </c>
    </row>
    <row r="549" spans="1:4" x14ac:dyDescent="0.35">
      <c r="A549" t="str">
        <f>"Tjänstemannaavtal"</f>
        <v>Tjänstemannaavtal</v>
      </c>
      <c r="B549" t="str">
        <f>"Livsmedelsföretagen"</f>
        <v>Livsmedelsföretagen</v>
      </c>
      <c r="C549" t="str">
        <f t="shared" si="56"/>
        <v>Unionen</v>
      </c>
      <c r="D549" t="str">
        <f>"2025-03-31"</f>
        <v>2025-03-31</v>
      </c>
    </row>
    <row r="550" spans="1:4" x14ac:dyDescent="0.35">
      <c r="A550" t="str">
        <f>"Tjänstemannaavtal"</f>
        <v>Tjänstemannaavtal</v>
      </c>
      <c r="B550" t="str">
        <f>"Maskinentreprenörerna"</f>
        <v>Maskinentreprenörerna</v>
      </c>
      <c r="C550" t="str">
        <f t="shared" si="56"/>
        <v>Unionen</v>
      </c>
      <c r="D550" t="str">
        <f>"2025-04-30"</f>
        <v>2025-04-30</v>
      </c>
    </row>
    <row r="551" spans="1:4" x14ac:dyDescent="0.35">
      <c r="A551" t="str">
        <f>"Tjänstemän i tjänste- och Medieföretag"</f>
        <v>Tjänstemän i tjänste- och Medieföretag</v>
      </c>
      <c r="B551" t="str">
        <f>"Medieföretagen"</f>
        <v>Medieföretagen</v>
      </c>
      <c r="C551" t="str">
        <f t="shared" si="56"/>
        <v>Unionen</v>
      </c>
      <c r="D551" t="str">
        <f>"2025-04-30"</f>
        <v>2025-04-30</v>
      </c>
    </row>
    <row r="552" spans="1:4" x14ac:dyDescent="0.35">
      <c r="A552" t="str">
        <f>"Public Service med dotterbolag"</f>
        <v>Public Service med dotterbolag</v>
      </c>
      <c r="B552" t="str">
        <f>"Medieföretagen"</f>
        <v>Medieföretagen</v>
      </c>
      <c r="C552" t="str">
        <f t="shared" si="56"/>
        <v>Unionen</v>
      </c>
      <c r="D552" t="str">
        <f>"2025-03-31"</f>
        <v>2025-03-31</v>
      </c>
    </row>
    <row r="553" spans="1:4" x14ac:dyDescent="0.35">
      <c r="A553" t="str">
        <f>"Tjänstemannaavtal Dagstidningar"</f>
        <v>Tjänstemannaavtal Dagstidningar</v>
      </c>
      <c r="B553" t="str">
        <f>"Medieföretagen"</f>
        <v>Medieföretagen</v>
      </c>
      <c r="C553" t="str">
        <f t="shared" si="56"/>
        <v>Unionen</v>
      </c>
      <c r="D553" t="str">
        <f>"2025-05-31"</f>
        <v>2025-05-31</v>
      </c>
    </row>
    <row r="554" spans="1:4" x14ac:dyDescent="0.35">
      <c r="A554" t="str">
        <f>"Grå avtalet, Tjänstemannaavtal (fd Mia/SIF)"</f>
        <v>Grå avtalet, Tjänstemannaavtal (fd Mia/SIF)</v>
      </c>
      <c r="B554" t="str">
        <f>"Medieföretagen"</f>
        <v>Medieföretagen</v>
      </c>
      <c r="C554" t="str">
        <f t="shared" si="56"/>
        <v>Unionen</v>
      </c>
      <c r="D554" t="str">
        <f>"2025-04-30"</f>
        <v>2025-04-30</v>
      </c>
    </row>
    <row r="555" spans="1:4" x14ac:dyDescent="0.35">
      <c r="A555" t="str">
        <f>"Tjänstemannaavtal"</f>
        <v>Tjänstemannaavtal</v>
      </c>
      <c r="B555" t="str">
        <f>"Motorbranschens Arbetsgivareförbund"</f>
        <v>Motorbranschens Arbetsgivareförbund</v>
      </c>
      <c r="C555" t="str">
        <f t="shared" si="56"/>
        <v>Unionen</v>
      </c>
      <c r="D555" t="str">
        <f>"2025-04-30"</f>
        <v>2025-04-30</v>
      </c>
    </row>
    <row r="556" spans="1:4" x14ac:dyDescent="0.35">
      <c r="A556" t="str">
        <f>"Tjänstemannaavtal"</f>
        <v>Tjänstemannaavtal</v>
      </c>
      <c r="B556" t="str">
        <f>"Måleriföretagen i Sverige"</f>
        <v>Måleriföretagen i Sverige</v>
      </c>
      <c r="C556" t="str">
        <f t="shared" si="56"/>
        <v>Unionen</v>
      </c>
      <c r="D556" t="str">
        <f>"2025-04-30"</f>
        <v>2025-04-30</v>
      </c>
    </row>
    <row r="557" spans="1:4" x14ac:dyDescent="0.35">
      <c r="A557" t="str">
        <f>"Tjänstemannaavtal"</f>
        <v>Tjänstemannaavtal</v>
      </c>
      <c r="B557" t="str">
        <f>"Plåt &amp; Ventföretagen"</f>
        <v>Plåt &amp; Ventföretagen</v>
      </c>
      <c r="C557" t="str">
        <f t="shared" si="56"/>
        <v>Unionen</v>
      </c>
      <c r="D557" t="str">
        <f>"2025-04-30"</f>
        <v>2025-04-30</v>
      </c>
    </row>
    <row r="558" spans="1:4" x14ac:dyDescent="0.35">
      <c r="A558" t="str">
        <f>"Tjänstemannaavtal (IKEM - Unionen)"</f>
        <v>Tjänstemannaavtal (IKEM - Unionen)</v>
      </c>
      <c r="B558" t="str">
        <f t="shared" ref="B558:B564" si="58">"Sinf"</f>
        <v>Sinf</v>
      </c>
      <c r="C558" t="str">
        <f t="shared" si="56"/>
        <v>Unionen</v>
      </c>
      <c r="D558" t="str">
        <f t="shared" ref="D558:D564" si="59">"2025-03-31"</f>
        <v>2025-03-31</v>
      </c>
    </row>
    <row r="559" spans="1:4" x14ac:dyDescent="0.35">
      <c r="A559" t="str">
        <f>"Tjänstemannaavtal (Teko-Unionen)"</f>
        <v>Tjänstemannaavtal (Teko-Unionen)</v>
      </c>
      <c r="B559" t="str">
        <f t="shared" si="58"/>
        <v>Sinf</v>
      </c>
      <c r="C559" t="str">
        <f t="shared" si="56"/>
        <v>Unionen</v>
      </c>
      <c r="D559" t="str">
        <f t="shared" si="59"/>
        <v>2025-03-31</v>
      </c>
    </row>
    <row r="560" spans="1:4" x14ac:dyDescent="0.35">
      <c r="A560" t="str">
        <f>"Tjänstemannaavtal (Livsmedelsföretagen - Unionen)"</f>
        <v>Tjänstemannaavtal (Livsmedelsföretagen - Unionen)</v>
      </c>
      <c r="B560" t="str">
        <f t="shared" si="58"/>
        <v>Sinf</v>
      </c>
      <c r="C560" t="str">
        <f t="shared" si="56"/>
        <v>Unionen</v>
      </c>
      <c r="D560" t="str">
        <f t="shared" si="59"/>
        <v>2025-03-31</v>
      </c>
    </row>
    <row r="561" spans="1:4" x14ac:dyDescent="0.35">
      <c r="A561" t="str">
        <f>"Tjänstemannaavtal (SVEMEK - Unionen)"</f>
        <v>Tjänstemannaavtal (SVEMEK - Unionen)</v>
      </c>
      <c r="B561" t="str">
        <f t="shared" si="58"/>
        <v>Sinf</v>
      </c>
      <c r="C561" t="str">
        <f t="shared" si="56"/>
        <v>Unionen</v>
      </c>
      <c r="D561" t="str">
        <f t="shared" si="59"/>
        <v>2025-03-31</v>
      </c>
    </row>
    <row r="562" spans="1:4" x14ac:dyDescent="0.35">
      <c r="A562" t="str">
        <f>"Träindustri (Trä- och Möbelföretagen - Unionen)"</f>
        <v>Träindustri (Trä- och Möbelföretagen - Unionen)</v>
      </c>
      <c r="B562" t="str">
        <f t="shared" si="58"/>
        <v>Sinf</v>
      </c>
      <c r="C562" t="str">
        <f t="shared" si="56"/>
        <v>Unionen</v>
      </c>
      <c r="D562" t="str">
        <f t="shared" si="59"/>
        <v>2025-03-31</v>
      </c>
    </row>
    <row r="563" spans="1:4" x14ac:dyDescent="0.35">
      <c r="A563" t="str">
        <f>"IT-branschen (TechSverige - Unionen)"</f>
        <v>IT-branschen (TechSverige - Unionen)</v>
      </c>
      <c r="B563" t="str">
        <f t="shared" si="58"/>
        <v>Sinf</v>
      </c>
      <c r="C563" t="str">
        <f t="shared" si="56"/>
        <v>Unionen</v>
      </c>
      <c r="D563" t="str">
        <f t="shared" si="59"/>
        <v>2025-03-31</v>
      </c>
    </row>
    <row r="564" spans="1:4" x14ac:dyDescent="0.35">
      <c r="A564" t="str">
        <f>"Teknikavtal Tjänstemän (Teknikarbetsgivarna - Unionen)"</f>
        <v>Teknikavtal Tjänstemän (Teknikarbetsgivarna - Unionen)</v>
      </c>
      <c r="B564" t="str">
        <f t="shared" si="58"/>
        <v>Sinf</v>
      </c>
      <c r="C564" t="str">
        <f t="shared" si="56"/>
        <v>Unionen</v>
      </c>
      <c r="D564" t="str">
        <f t="shared" si="59"/>
        <v>2025-03-31</v>
      </c>
    </row>
    <row r="565" spans="1:4" x14ac:dyDescent="0.35">
      <c r="A565" t="str">
        <f>"Tjänstemannaavtalet för Transportföretagen"</f>
        <v>Tjänstemannaavtalet för Transportföretagen</v>
      </c>
      <c r="B565" t="str">
        <f>"Sjöfartens Arbetsgivareförbund"</f>
        <v>Sjöfartens Arbetsgivareförbund</v>
      </c>
      <c r="C565" t="str">
        <f t="shared" si="56"/>
        <v>Unionen</v>
      </c>
      <c r="D565" t="str">
        <f>"2025-04-30"</f>
        <v>2025-04-30</v>
      </c>
    </row>
    <row r="566" spans="1:4" x14ac:dyDescent="0.35">
      <c r="A566" t="str">
        <f>"Apoteksanställda"</f>
        <v>Apoteksanställda</v>
      </c>
      <c r="B566" t="str">
        <f>"Svensk Handel"</f>
        <v>Svensk Handel</v>
      </c>
      <c r="C566" t="str">
        <f t="shared" si="56"/>
        <v>Unionen</v>
      </c>
      <c r="D566" t="str">
        <f>"2025-04-30"</f>
        <v>2025-04-30</v>
      </c>
    </row>
    <row r="567" spans="1:4" x14ac:dyDescent="0.35">
      <c r="A567" t="str">
        <f>"Tjänstemän vid Systembolaget AB"</f>
        <v>Tjänstemän vid Systembolaget AB</v>
      </c>
      <c r="B567" t="str">
        <f>"Svensk Handel"</f>
        <v>Svensk Handel</v>
      </c>
      <c r="C567" t="str">
        <f t="shared" ref="C567:C586" si="60">"Unionen"</f>
        <v>Unionen</v>
      </c>
      <c r="D567" t="str">
        <f>"2025-04-30"</f>
        <v>2025-04-30</v>
      </c>
    </row>
    <row r="568" spans="1:4" x14ac:dyDescent="0.35">
      <c r="A568" t="str">
        <f>"Handelns Tjänstemannaavtal"</f>
        <v>Handelns Tjänstemannaavtal</v>
      </c>
      <c r="B568" t="str">
        <f>"Svensk Handel"</f>
        <v>Svensk Handel</v>
      </c>
      <c r="C568" t="str">
        <f t="shared" si="60"/>
        <v>Unionen</v>
      </c>
      <c r="D568" t="str">
        <f>"2025-04-30"</f>
        <v>2025-04-30</v>
      </c>
    </row>
    <row r="569" spans="1:4" x14ac:dyDescent="0.35">
      <c r="A569" t="str">
        <f>"Tjänstemän inom Detaljhandeln (DT)"</f>
        <v>Tjänstemän inom Detaljhandeln (DT)</v>
      </c>
      <c r="B569" t="str">
        <f>"Svensk Handel"</f>
        <v>Svensk Handel</v>
      </c>
      <c r="C569" t="str">
        <f t="shared" si="60"/>
        <v>Unionen</v>
      </c>
      <c r="D569" t="str">
        <f>"2025-04-30"</f>
        <v>2025-04-30</v>
      </c>
    </row>
    <row r="570" spans="1:4" x14ac:dyDescent="0.35">
      <c r="A570" t="str">
        <f>"Riksavtal för tjänstemän vid A. Orkesterföretag mm samt B. Teater- och länsteaterföreningar mm"</f>
        <v>Riksavtal för tjänstemän vid A. Orkesterföretag mm samt B. Teater- och länsteaterföreningar mm</v>
      </c>
      <c r="B570" t="str">
        <f>"Svensk Scenkonst"</f>
        <v>Svensk Scenkonst</v>
      </c>
      <c r="C570" t="str">
        <f t="shared" si="60"/>
        <v>Unionen</v>
      </c>
      <c r="D570" t="str">
        <f>"2025-03-31"</f>
        <v>2025-03-31</v>
      </c>
    </row>
    <row r="571" spans="1:4" x14ac:dyDescent="0.35">
      <c r="A571" t="str">
        <f>"Kabinpersonal"</f>
        <v>Kabinpersonal</v>
      </c>
      <c r="B571" t="str">
        <f>"Svenska Flygbranschen"</f>
        <v>Svenska Flygbranschen</v>
      </c>
      <c r="C571" t="str">
        <f t="shared" si="60"/>
        <v>Unionen</v>
      </c>
      <c r="D571" t="str">
        <f>"2025-04-30"</f>
        <v>2025-04-30</v>
      </c>
    </row>
    <row r="572" spans="1:4" x14ac:dyDescent="0.35">
      <c r="A572" t="str">
        <f>"Tjänstemannaavtalet för Transportföretagen"</f>
        <v>Tjänstemannaavtalet för Transportföretagen</v>
      </c>
      <c r="B572" t="str">
        <f>"Svenska Flygbranschen"</f>
        <v>Svenska Flygbranschen</v>
      </c>
      <c r="C572" t="str">
        <f t="shared" si="60"/>
        <v>Unionen</v>
      </c>
      <c r="D572" t="str">
        <f>"2025-04-30"</f>
        <v>2025-04-30</v>
      </c>
    </row>
    <row r="573" spans="1:4" x14ac:dyDescent="0.35">
      <c r="A573" t="str">
        <f>"Tjänstemannaavtalet för Transportföretagen"</f>
        <v>Tjänstemannaavtalet för Transportföretagen</v>
      </c>
      <c r="B573" t="str">
        <f>"Sveriges Bussföretag"</f>
        <v>Sveriges Bussföretag</v>
      </c>
      <c r="C573" t="str">
        <f t="shared" si="60"/>
        <v>Unionen</v>
      </c>
      <c r="D573" t="str">
        <f>"2025-04-30"</f>
        <v>2025-04-30</v>
      </c>
    </row>
    <row r="574" spans="1:4" x14ac:dyDescent="0.35">
      <c r="A574" t="str">
        <f>"Tjänstemannaavtalet för Transportföretagen"</f>
        <v>Tjänstemannaavtalet för Transportföretagen</v>
      </c>
      <c r="B574" t="str">
        <f>"Sveriges Hamnar"</f>
        <v>Sveriges Hamnar</v>
      </c>
      <c r="C574" t="str">
        <f t="shared" si="60"/>
        <v>Unionen</v>
      </c>
      <c r="D574" t="str">
        <f>"2025-04-30"</f>
        <v>2025-04-30</v>
      </c>
    </row>
    <row r="575" spans="1:4" x14ac:dyDescent="0.35">
      <c r="A575" t="str">
        <f>"Säkerhetsföretagens Tjänstemannaavtal"</f>
        <v>Säkerhetsföretagens Tjänstemannaavtal</v>
      </c>
      <c r="B575" t="str">
        <f>"Säkerhetsföretagen (Almega)"</f>
        <v>Säkerhetsföretagen (Almega)</v>
      </c>
      <c r="C575" t="str">
        <f t="shared" si="60"/>
        <v>Unionen</v>
      </c>
      <c r="D575" t="str">
        <f>"2025-04-30"</f>
        <v>2025-04-30</v>
      </c>
    </row>
    <row r="576" spans="1:4" x14ac:dyDescent="0.35">
      <c r="A576" t="str">
        <f>"IT-branschen"</f>
        <v>IT-branschen</v>
      </c>
      <c r="B576" t="str">
        <f>"TechSverige"</f>
        <v>TechSverige</v>
      </c>
      <c r="C576" t="str">
        <f t="shared" si="60"/>
        <v>Unionen</v>
      </c>
      <c r="D576" t="str">
        <f>"2025-03-31"</f>
        <v>2025-03-31</v>
      </c>
    </row>
    <row r="577" spans="1:4" x14ac:dyDescent="0.35">
      <c r="A577" t="str">
        <f>"Telekom"</f>
        <v>Telekom</v>
      </c>
      <c r="B577" t="str">
        <f>"TechSverige"</f>
        <v>TechSverige</v>
      </c>
      <c r="C577" t="str">
        <f t="shared" si="60"/>
        <v>Unionen</v>
      </c>
      <c r="D577" t="str">
        <f>"2025-03-31"</f>
        <v>2025-03-31</v>
      </c>
    </row>
    <row r="578" spans="1:4" x14ac:dyDescent="0.35">
      <c r="A578" t="str">
        <f>"Teknikavtal Tjänstemän"</f>
        <v>Teknikavtal Tjänstemän</v>
      </c>
      <c r="B578" t="str">
        <f>"Teknikarbetsgivarna"</f>
        <v>Teknikarbetsgivarna</v>
      </c>
      <c r="C578" t="str">
        <f t="shared" si="60"/>
        <v>Unionen</v>
      </c>
      <c r="D578" t="str">
        <f>"2025-03-31"</f>
        <v>2025-03-31</v>
      </c>
    </row>
    <row r="579" spans="1:4" x14ac:dyDescent="0.35">
      <c r="A579" t="str">
        <f>"Tekniktjänsteavtalet"</f>
        <v>Tekniktjänsteavtalet</v>
      </c>
      <c r="B579" t="str">
        <f>"Tekniktjänstearbetsgivarna"</f>
        <v>Tekniktjänstearbetsgivarna</v>
      </c>
      <c r="C579" t="str">
        <f t="shared" si="60"/>
        <v>Unionen</v>
      </c>
      <c r="D579" t="str">
        <f>"2025-03-31"</f>
        <v>2025-03-31</v>
      </c>
    </row>
    <row r="580" spans="1:4" x14ac:dyDescent="0.35">
      <c r="A580" t="str">
        <f>"Tjänstemannaavtal"</f>
        <v>Tjänstemannaavtal</v>
      </c>
      <c r="B580" t="str">
        <f>"TEKO, Sveriges Textil- och Modeföretag"</f>
        <v>TEKO, Sveriges Textil- och Modeföretag</v>
      </c>
      <c r="C580" t="str">
        <f t="shared" si="60"/>
        <v>Unionen</v>
      </c>
      <c r="D580" t="str">
        <f>"2025-03-31"</f>
        <v>2025-03-31</v>
      </c>
    </row>
    <row r="581" spans="1:4" x14ac:dyDescent="0.35">
      <c r="A581" t="str">
        <f>"Tjästemannaavtal"</f>
        <v>Tjästemannaavtal</v>
      </c>
      <c r="B581" t="str">
        <f>"TGA - TeknikGrossisternas Arbetsgivareförening"</f>
        <v>TGA - TeknikGrossisternas Arbetsgivareförening</v>
      </c>
      <c r="C581" t="str">
        <f t="shared" si="60"/>
        <v>Unionen</v>
      </c>
      <c r="D581" t="str">
        <f>""</f>
        <v/>
      </c>
    </row>
    <row r="582" spans="1:4" x14ac:dyDescent="0.35">
      <c r="A582" t="str">
        <f>"Stoppmöbelindustri"</f>
        <v>Stoppmöbelindustri</v>
      </c>
      <c r="B582" t="str">
        <f>"Trä- och Möbelföretagen"</f>
        <v>Trä- och Möbelföretagen</v>
      </c>
      <c r="C582" t="str">
        <f t="shared" si="60"/>
        <v>Unionen</v>
      </c>
      <c r="D582" t="str">
        <f>"2025-03-31"</f>
        <v>2025-03-31</v>
      </c>
    </row>
    <row r="583" spans="1:4" x14ac:dyDescent="0.35">
      <c r="A583" t="str">
        <f>"Träindustri"</f>
        <v>Träindustri</v>
      </c>
      <c r="B583" t="str">
        <f>"Trä- och Möbelföretagen"</f>
        <v>Trä- och Möbelföretagen</v>
      </c>
      <c r="C583" t="str">
        <f t="shared" si="60"/>
        <v>Unionen</v>
      </c>
      <c r="D583" t="str">
        <f>"2025-03-31"</f>
        <v>2025-03-31</v>
      </c>
    </row>
    <row r="584" spans="1:4" x14ac:dyDescent="0.35">
      <c r="A584" t="str">
        <f>"Tjänstemannaavtal"</f>
        <v>Tjänstemannaavtal</v>
      </c>
      <c r="B584" t="str">
        <f>"Visita"</f>
        <v>Visita</v>
      </c>
      <c r="C584" t="str">
        <f t="shared" si="60"/>
        <v>Unionen</v>
      </c>
      <c r="D584" t="str">
        <f>"2025-05-31"</f>
        <v>2025-05-31</v>
      </c>
    </row>
    <row r="585" spans="1:4" x14ac:dyDescent="0.35">
      <c r="A585" t="str">
        <f>"Tandläkarmottagningar - Bransch Tandvård (A)"</f>
        <v>Tandläkarmottagningar - Bransch Tandvård (A)</v>
      </c>
      <c r="B585" t="str">
        <f>"Vårdföretagarna"</f>
        <v>Vårdföretagarna</v>
      </c>
      <c r="C585" t="str">
        <f t="shared" si="60"/>
        <v>Unionen</v>
      </c>
      <c r="D585" t="str">
        <f>"2025-06-30"</f>
        <v>2025-06-30</v>
      </c>
    </row>
    <row r="586" spans="1:4" x14ac:dyDescent="0.35">
      <c r="A586" t="str">
        <f>"Dentallaboratorier (B)"</f>
        <v>Dentallaboratorier (B)</v>
      </c>
      <c r="B586" t="str">
        <f>"Vårdföretagarna"</f>
        <v>Vårdföretagarna</v>
      </c>
      <c r="C586" t="str">
        <f t="shared" si="60"/>
        <v>Unionen</v>
      </c>
      <c r="D586" t="str">
        <f>"2025-06-30"</f>
        <v>2025-06-30</v>
      </c>
    </row>
    <row r="587" spans="1:4" x14ac:dyDescent="0.35">
      <c r="A587" t="str">
        <f>"Friskolor"</f>
        <v>Friskolor</v>
      </c>
      <c r="B587" t="str">
        <f>"Almega Tjänsteföretagen"</f>
        <v>Almega Tjänsteföretagen</v>
      </c>
      <c r="C587" t="str">
        <f t="shared" ref="C587:C613" si="61">"Vision"</f>
        <v>Vision</v>
      </c>
      <c r="D587" t="str">
        <f>""</f>
        <v/>
      </c>
    </row>
    <row r="588" spans="1:4" x14ac:dyDescent="0.35">
      <c r="A588" t="str">
        <f>"Högskola"</f>
        <v>Högskola</v>
      </c>
      <c r="B588" t="str">
        <f>"Arbetsgivaralliansen"</f>
        <v>Arbetsgivaralliansen</v>
      </c>
      <c r="C588" t="str">
        <f t="shared" si="61"/>
        <v>Vision</v>
      </c>
      <c r="D588" t="str">
        <f>"2025-06-30"</f>
        <v>2025-06-30</v>
      </c>
    </row>
    <row r="589" spans="1:4" x14ac:dyDescent="0.35">
      <c r="A589" t="str">
        <f>"Vård och omsorg"</f>
        <v>Vård och omsorg</v>
      </c>
      <c r="B589" t="str">
        <f>"Arbetsgivaralliansen"</f>
        <v>Arbetsgivaralliansen</v>
      </c>
      <c r="C589" t="str">
        <f t="shared" si="61"/>
        <v>Vision</v>
      </c>
      <c r="D589" t="str">
        <f>"2025-09-30"</f>
        <v>2025-09-30</v>
      </c>
    </row>
    <row r="590" spans="1:4" x14ac:dyDescent="0.35">
      <c r="A590" t="str">
        <f>"Skola/utbildning"</f>
        <v>Skola/utbildning</v>
      </c>
      <c r="B590" t="str">
        <f>"Arbetsgivaralliansen"</f>
        <v>Arbetsgivaralliansen</v>
      </c>
      <c r="C590" t="str">
        <f t="shared" si="61"/>
        <v>Vision</v>
      </c>
      <c r="D590" t="str">
        <f>"2025-04-30"</f>
        <v>2025-04-30</v>
      </c>
    </row>
    <row r="591" spans="1:4" x14ac:dyDescent="0.35">
      <c r="A591" t="str">
        <f>"Folkhögskolor"</f>
        <v>Folkhögskolor</v>
      </c>
      <c r="B591" t="str">
        <f>"Arbetsgivaralliansen"</f>
        <v>Arbetsgivaralliansen</v>
      </c>
      <c r="C591" t="str">
        <f t="shared" si="61"/>
        <v>Vision</v>
      </c>
      <c r="D591" t="str">
        <f>"2025-04-30"</f>
        <v>2025-04-30</v>
      </c>
    </row>
    <row r="592" spans="1:4" x14ac:dyDescent="0.35">
      <c r="A592" t="str">
        <f>"Trossamfund och ekumeniska organisationer"</f>
        <v>Trossamfund och ekumeniska organisationer</v>
      </c>
      <c r="B592" t="str">
        <f>"Arbetsgivaralliansen"</f>
        <v>Arbetsgivaralliansen</v>
      </c>
      <c r="C592" t="str">
        <f t="shared" si="61"/>
        <v>Vision</v>
      </c>
      <c r="D592" t="str">
        <f>"2025-09-30"</f>
        <v>2025-09-30</v>
      </c>
    </row>
    <row r="593" spans="1:4" x14ac:dyDescent="0.35">
      <c r="A593" t="str">
        <f>"K-avtalet (Tjänstemannaavtal)"</f>
        <v>K-avtalet (Tjänstemannaavtal)</v>
      </c>
      <c r="B593" t="str">
        <f>"Fastigo - Fastighetsbranschens Arbetsgivarorganisation"</f>
        <v>Fastigo - Fastighetsbranschens Arbetsgivarorganisation</v>
      </c>
      <c r="C593" t="str">
        <f t="shared" si="61"/>
        <v>Vision</v>
      </c>
      <c r="D593" t="str">
        <f>"2025-03-31"</f>
        <v>2025-03-31</v>
      </c>
    </row>
    <row r="594" spans="1:4" x14ac:dyDescent="0.35">
      <c r="A594" t="str">
        <f>"Tandläkarmottagningar och tandregleringsverksamheter"</f>
        <v>Tandläkarmottagningar och tandregleringsverksamheter</v>
      </c>
      <c r="B594" t="str">
        <f>"Fremia"</f>
        <v>Fremia</v>
      </c>
      <c r="C594" t="str">
        <f t="shared" si="61"/>
        <v>Vision</v>
      </c>
      <c r="D594" t="str">
        <f>""</f>
        <v/>
      </c>
    </row>
    <row r="595" spans="1:4" x14ac:dyDescent="0.35">
      <c r="A595" t="str">
        <f>"Enskilda högskolor"</f>
        <v>Enskilda högskolor</v>
      </c>
      <c r="B595" t="str">
        <f>"Fremia"</f>
        <v>Fremia</v>
      </c>
      <c r="C595" t="str">
        <f t="shared" si="61"/>
        <v>Vision</v>
      </c>
      <c r="D595" t="str">
        <f>""</f>
        <v/>
      </c>
    </row>
    <row r="596" spans="1:4" x14ac:dyDescent="0.35">
      <c r="A596" t="str">
        <f>"Hälsa, vård och övrig omsorg"</f>
        <v>Hälsa, vård och övrig omsorg</v>
      </c>
      <c r="B596" t="str">
        <f>"Fremia"</f>
        <v>Fremia</v>
      </c>
      <c r="C596" t="str">
        <f t="shared" si="61"/>
        <v>Vision</v>
      </c>
      <c r="D596" t="str">
        <f>"2025-05-31"</f>
        <v>2025-05-31</v>
      </c>
    </row>
    <row r="597" spans="1:4" x14ac:dyDescent="0.35">
      <c r="A597" t="str">
        <f>"Förskolor, fritidshem och fristående skolor"</f>
        <v>Förskolor, fritidshem och fristående skolor</v>
      </c>
      <c r="B597" t="str">
        <f>"Fremia"</f>
        <v>Fremia</v>
      </c>
      <c r="C597" t="str">
        <f t="shared" si="61"/>
        <v>Vision</v>
      </c>
      <c r="D597" t="str">
        <f>"2025-08-31"</f>
        <v>2025-08-31</v>
      </c>
    </row>
    <row r="598" spans="1:4" x14ac:dyDescent="0.35">
      <c r="A598" t="str">
        <f>"BEA"</f>
        <v>BEA</v>
      </c>
      <c r="B598" t="str">
        <f>"SKR - Sveriges Kommuner och Regioner"</f>
        <v>SKR - Sveriges Kommuner och Regioner</v>
      </c>
      <c r="C598" t="str">
        <f t="shared" si="61"/>
        <v>Vision</v>
      </c>
      <c r="D598" t="str">
        <f>""</f>
        <v/>
      </c>
    </row>
    <row r="599" spans="1:4" x14ac:dyDescent="0.35">
      <c r="A599" t="str">
        <f>"RiB"</f>
        <v>RiB</v>
      </c>
      <c r="B599" t="str">
        <f>"SKR - Sveriges Kommuner och Regioner"</f>
        <v>SKR - Sveriges Kommuner och Regioner</v>
      </c>
      <c r="C599" t="str">
        <f t="shared" si="61"/>
        <v>Vision</v>
      </c>
      <c r="D599" t="str">
        <f>"2024-04-30"</f>
        <v>2024-04-30</v>
      </c>
    </row>
    <row r="600" spans="1:4" x14ac:dyDescent="0.35">
      <c r="A600" t="str">
        <f>"OFR - Allmän Kommunal verksamhet"</f>
        <v>OFR - Allmän Kommunal verksamhet</v>
      </c>
      <c r="B600" t="str">
        <f>"SKR - Sveriges Kommuner och Regioner"</f>
        <v>SKR - Sveriges Kommuner och Regioner</v>
      </c>
      <c r="C600" t="str">
        <f t="shared" si="61"/>
        <v>Vision</v>
      </c>
      <c r="D600" t="str">
        <f>"2025-03-31"</f>
        <v>2025-03-31</v>
      </c>
    </row>
    <row r="601" spans="1:4" x14ac:dyDescent="0.35">
      <c r="A601" t="str">
        <f>"BEA"</f>
        <v>BEA</v>
      </c>
      <c r="B601" t="str">
        <f t="shared" ref="B601:B609" si="62">"Sobona"</f>
        <v>Sobona</v>
      </c>
      <c r="C601" t="str">
        <f t="shared" si="61"/>
        <v>Vision</v>
      </c>
      <c r="D601" t="str">
        <f>""</f>
        <v/>
      </c>
    </row>
    <row r="602" spans="1:4" x14ac:dyDescent="0.35">
      <c r="A602" t="str">
        <f>"RiB"</f>
        <v>RiB</v>
      </c>
      <c r="B602" t="str">
        <f t="shared" si="62"/>
        <v>Sobona</v>
      </c>
      <c r="C602" t="str">
        <f t="shared" si="61"/>
        <v>Vision</v>
      </c>
      <c r="D602" t="str">
        <f>"2024-04-30"</f>
        <v>2024-04-30</v>
      </c>
    </row>
    <row r="603" spans="1:4" x14ac:dyDescent="0.35">
      <c r="A603" t="str">
        <f>"BÖK Trafik"</f>
        <v>BÖK Trafik</v>
      </c>
      <c r="B603" t="str">
        <f t="shared" si="62"/>
        <v>Sobona</v>
      </c>
      <c r="C603" t="str">
        <f t="shared" si="61"/>
        <v>Vision</v>
      </c>
      <c r="D603" t="str">
        <f>"2025-09-30"</f>
        <v>2025-09-30</v>
      </c>
    </row>
    <row r="604" spans="1:4" x14ac:dyDescent="0.35">
      <c r="A604" t="str">
        <f>"OFR - Allmän Kommunal verksamhet"</f>
        <v>OFR - Allmän Kommunal verksamhet</v>
      </c>
      <c r="B604" t="str">
        <f t="shared" si="62"/>
        <v>Sobona</v>
      </c>
      <c r="C604" t="str">
        <f t="shared" si="61"/>
        <v>Vision</v>
      </c>
      <c r="D604" t="str">
        <f t="shared" ref="D604:D609" si="63">"2025-03-31"</f>
        <v>2025-03-31</v>
      </c>
    </row>
    <row r="605" spans="1:4" x14ac:dyDescent="0.35">
      <c r="A605" t="str">
        <f>"BÖK Besöksnäring och Kulturarv"</f>
        <v>BÖK Besöksnäring och Kulturarv</v>
      </c>
      <c r="B605" t="str">
        <f t="shared" si="62"/>
        <v>Sobona</v>
      </c>
      <c r="C605" t="str">
        <f t="shared" si="61"/>
        <v>Vision</v>
      </c>
      <c r="D605" t="str">
        <f t="shared" si="63"/>
        <v>2025-03-31</v>
      </c>
    </row>
    <row r="606" spans="1:4" x14ac:dyDescent="0.35">
      <c r="A606" t="str">
        <f>"BÖK Vatten &amp; Miljö"</f>
        <v>BÖK Vatten &amp; Miljö</v>
      </c>
      <c r="B606" t="str">
        <f t="shared" si="62"/>
        <v>Sobona</v>
      </c>
      <c r="C606" t="str">
        <f t="shared" si="61"/>
        <v>Vision</v>
      </c>
      <c r="D606" t="str">
        <f t="shared" si="63"/>
        <v>2025-03-31</v>
      </c>
    </row>
    <row r="607" spans="1:4" x14ac:dyDescent="0.35">
      <c r="A607" t="str">
        <f>"BÖK Flygplatser"</f>
        <v>BÖK Flygplatser</v>
      </c>
      <c r="B607" t="str">
        <f t="shared" si="62"/>
        <v>Sobona</v>
      </c>
      <c r="C607" t="str">
        <f t="shared" si="61"/>
        <v>Vision</v>
      </c>
      <c r="D607" t="str">
        <f t="shared" si="63"/>
        <v>2025-03-31</v>
      </c>
    </row>
    <row r="608" spans="1:4" x14ac:dyDescent="0.35">
      <c r="A608" t="str">
        <f>"BÖK Energi"</f>
        <v>BÖK Energi</v>
      </c>
      <c r="B608" t="str">
        <f t="shared" si="62"/>
        <v>Sobona</v>
      </c>
      <c r="C608" t="str">
        <f t="shared" si="61"/>
        <v>Vision</v>
      </c>
      <c r="D608" t="str">
        <f t="shared" si="63"/>
        <v>2025-03-31</v>
      </c>
    </row>
    <row r="609" spans="1:4" x14ac:dyDescent="0.35">
      <c r="A609" t="str">
        <f>"BÖK Fastigheter"</f>
        <v>BÖK Fastigheter</v>
      </c>
      <c r="B609" t="str">
        <f t="shared" si="62"/>
        <v>Sobona</v>
      </c>
      <c r="C609" t="str">
        <f t="shared" si="61"/>
        <v>Vision</v>
      </c>
      <c r="D609" t="str">
        <f t="shared" si="63"/>
        <v>2025-03-31</v>
      </c>
    </row>
    <row r="610" spans="1:4" x14ac:dyDescent="0.35">
      <c r="A610" t="str">
        <f>"Svenska Kyrkan"</f>
        <v>Svenska Kyrkan</v>
      </c>
      <c r="B610" t="str">
        <f>"Svenska Kyrkan"</f>
        <v>Svenska Kyrkan</v>
      </c>
      <c r="C610" t="str">
        <f t="shared" si="61"/>
        <v>Vision</v>
      </c>
      <c r="D610" t="str">
        <f>"2025-04-30"</f>
        <v>2025-04-30</v>
      </c>
    </row>
    <row r="611" spans="1:4" x14ac:dyDescent="0.35">
      <c r="A611" t="str">
        <f>"Företagshälsovård"</f>
        <v>Företagshälsovård</v>
      </c>
      <c r="B611" t="str">
        <f>"Vårdföretagarna"</f>
        <v>Vårdföretagarna</v>
      </c>
      <c r="C611" t="str">
        <f t="shared" si="61"/>
        <v>Vision</v>
      </c>
      <c r="D611" t="str">
        <f>""</f>
        <v/>
      </c>
    </row>
    <row r="612" spans="1:4" x14ac:dyDescent="0.35">
      <c r="A612" t="str">
        <f>"Äldreomsorg"</f>
        <v>Äldreomsorg</v>
      </c>
      <c r="B612" t="str">
        <f>"Vårdföretagarna"</f>
        <v>Vårdföretagarna</v>
      </c>
      <c r="C612" t="str">
        <f t="shared" si="61"/>
        <v>Vision</v>
      </c>
      <c r="D612" t="str">
        <f>""</f>
        <v/>
      </c>
    </row>
    <row r="613" spans="1:4" x14ac:dyDescent="0.35">
      <c r="A613" t="str">
        <f>"Vård och Behandling samt Omsorgsverksamhet"</f>
        <v>Vård och Behandling samt Omsorgsverksamhet</v>
      </c>
      <c r="B613" t="str">
        <f>"Vårdföretagarna"</f>
        <v>Vårdföretagarna</v>
      </c>
      <c r="C613" t="str">
        <f t="shared" si="61"/>
        <v>Vision</v>
      </c>
      <c r="D613" t="str">
        <f>""</f>
        <v/>
      </c>
    </row>
    <row r="614" spans="1:4" x14ac:dyDescent="0.35">
      <c r="A614" t="str">
        <f>"Vård och omsorg"</f>
        <v>Vård och omsorg</v>
      </c>
      <c r="B614" t="str">
        <f>"Arbetsgivaralliansen"</f>
        <v>Arbetsgivaralliansen</v>
      </c>
      <c r="C614" t="str">
        <f t="shared" ref="C614:C623" si="64">"Vårdförbundet"</f>
        <v>Vårdförbundet</v>
      </c>
      <c r="D614" t="str">
        <f>"2025-09-30"</f>
        <v>2025-09-30</v>
      </c>
    </row>
    <row r="615" spans="1:4" x14ac:dyDescent="0.35">
      <c r="A615" t="str">
        <f>"Hälsa, vård och övrig omsorg"</f>
        <v>Hälsa, vård och övrig omsorg</v>
      </c>
      <c r="B615" t="str">
        <f>"Fremia"</f>
        <v>Fremia</v>
      </c>
      <c r="C615" t="str">
        <f t="shared" si="64"/>
        <v>Vårdförbundet</v>
      </c>
      <c r="D615" t="str">
        <f>"2025-05-31"</f>
        <v>2025-05-31</v>
      </c>
    </row>
    <row r="616" spans="1:4" x14ac:dyDescent="0.35">
      <c r="A616" t="str">
        <f>"Bemanningsavtal Vård och omsorg"</f>
        <v>Bemanningsavtal Vård och omsorg</v>
      </c>
      <c r="B616" t="str">
        <f>"Kompetensföretagen"</f>
        <v>Kompetensföretagen</v>
      </c>
      <c r="C616" t="str">
        <f t="shared" si="64"/>
        <v>Vårdförbundet</v>
      </c>
      <c r="D616" t="str">
        <f>""</f>
        <v/>
      </c>
    </row>
    <row r="617" spans="1:4" x14ac:dyDescent="0.35">
      <c r="A617" t="str">
        <f>"OFR Hälso- och sjukvård"</f>
        <v>OFR Hälso- och sjukvård</v>
      </c>
      <c r="B617" t="str">
        <f>"SKR - Sveriges Kommuner och Regioner"</f>
        <v>SKR - Sveriges Kommuner och Regioner</v>
      </c>
      <c r="C617" t="str">
        <f t="shared" si="64"/>
        <v>Vårdförbundet</v>
      </c>
      <c r="D617" t="str">
        <f>"2024-03-31"</f>
        <v>2024-03-31</v>
      </c>
    </row>
    <row r="618" spans="1:4" x14ac:dyDescent="0.35">
      <c r="A618" t="str">
        <f>"OFR Hälso- och sjukvård"</f>
        <v>OFR Hälso- och sjukvård</v>
      </c>
      <c r="B618" t="str">
        <f>"Sobona"</f>
        <v>Sobona</v>
      </c>
      <c r="C618" t="str">
        <f t="shared" si="64"/>
        <v>Vårdförbundet</v>
      </c>
      <c r="D618" t="str">
        <f>"2024-03-31"</f>
        <v>2024-03-31</v>
      </c>
    </row>
    <row r="619" spans="1:4" x14ac:dyDescent="0.35">
      <c r="A619" t="str">
        <f>"Leg sjuksköterskor"</f>
        <v>Leg sjuksköterskor</v>
      </c>
      <c r="B619" t="str">
        <f>"Svenska Flygbranschen"</f>
        <v>Svenska Flygbranschen</v>
      </c>
      <c r="C619" t="str">
        <f t="shared" si="64"/>
        <v>Vårdförbundet</v>
      </c>
      <c r="D619" t="str">
        <f>""</f>
        <v/>
      </c>
    </row>
    <row r="620" spans="1:4" x14ac:dyDescent="0.35">
      <c r="A620" t="str">
        <f>"Äldreomsorg"</f>
        <v>Äldreomsorg</v>
      </c>
      <c r="B620" t="str">
        <f>"Vårdföretagarna"</f>
        <v>Vårdföretagarna</v>
      </c>
      <c r="C620" t="str">
        <f t="shared" si="64"/>
        <v>Vårdförbundet</v>
      </c>
      <c r="D620" t="str">
        <f>""</f>
        <v/>
      </c>
    </row>
    <row r="621" spans="1:4" x14ac:dyDescent="0.35">
      <c r="A621" t="str">
        <f>"Vård och behandlingsverksamhet samt omsorgsverksamhet"</f>
        <v>Vård och behandlingsverksamhet samt omsorgsverksamhet</v>
      </c>
      <c r="B621" t="str">
        <f>"Vårdföretagarna"</f>
        <v>Vårdföretagarna</v>
      </c>
      <c r="C621" t="str">
        <f t="shared" si="64"/>
        <v>Vårdförbundet</v>
      </c>
      <c r="D621" t="str">
        <f>""</f>
        <v/>
      </c>
    </row>
    <row r="622" spans="1:4" x14ac:dyDescent="0.35">
      <c r="A622" t="str">
        <f>"Företagshälsovård"</f>
        <v>Företagshälsovård</v>
      </c>
      <c r="B622" t="str">
        <f>"Vårdföretagarna"</f>
        <v>Vårdföretagarna</v>
      </c>
      <c r="C622" t="str">
        <f t="shared" si="64"/>
        <v>Vårdförbundet</v>
      </c>
      <c r="D622" t="str">
        <f>""</f>
        <v/>
      </c>
    </row>
    <row r="623" spans="1:4" x14ac:dyDescent="0.35">
      <c r="A623" t="str">
        <f>"Sjuksköterskor anställda i ambulansföretag"</f>
        <v>Sjuksköterskor anställda i ambulansföretag</v>
      </c>
      <c r="B623" t="str">
        <f>"Vårdföretagarna"</f>
        <v>Vårdföretagarna</v>
      </c>
      <c r="C623" t="str">
        <f t="shared" si="64"/>
        <v>Vårdförbundet</v>
      </c>
      <c r="D623" t="str">
        <f>""</f>
        <v/>
      </c>
    </row>
  </sheetData>
  <autoFilter ref="A1:D624" xr:uid="{00000000-0009-0000-0000-000001000000}"/>
  <sortState xmlns:xlrd2="http://schemas.microsoft.com/office/spreadsheetml/2017/richdata2" ref="A2:D624">
    <sortCondition ref="C2:C624"/>
    <sortCondition ref="B2:B62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Introduktion</vt:lpstr>
      <vt:lpstr>Avtal_Arbetsgivarorganisationer</vt:lpstr>
      <vt:lpstr>Avtal_arbetstagarorganisationer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Kinnunen</dc:creator>
  <cp:lastModifiedBy>Amanda Kinnunen</cp:lastModifiedBy>
  <dcterms:created xsi:type="dcterms:W3CDTF">2024-05-07T14:05:13Z</dcterms:created>
  <dcterms:modified xsi:type="dcterms:W3CDTF">2024-05-08T08:22:55Z</dcterms:modified>
</cp:coreProperties>
</file>